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9"/>
  <workbookPr/>
  <mc:AlternateContent xmlns:mc="http://schemas.openxmlformats.org/markup-compatibility/2006">
    <mc:Choice Requires="x15">
      <x15ac:absPath xmlns:x15ac="http://schemas.microsoft.com/office/spreadsheetml/2010/11/ac" url="S:\CPL\2022\PREGÕES\3 VIGILÂNCIA\ETP, MAPA DE RISCOS, PESQUISAS, PLANILHAS, TR e OUTROS\"/>
    </mc:Choice>
  </mc:AlternateContent>
  <xr:revisionPtr revIDLastSave="0" documentId="13_ncr:1_{2EB2828C-4EA0-4FFD-B212-DBA17F6BFF18}" xr6:coauthVersionLast="36" xr6:coauthVersionMax="36" xr10:uidLastSave="{00000000-0000-0000-0000-000000000000}"/>
  <bookViews>
    <workbookView xWindow="0" yWindow="0" windowWidth="28800" windowHeight="12334" firstSheet="3" activeTab="11" xr2:uid="{00000000-000D-0000-FFFF-FFFF00000000}"/>
  </bookViews>
  <sheets>
    <sheet name="NOTURNO SIC" sheetId="14" r:id="rId1"/>
    <sheet name="NOTURNO BRG" sheetId="13" r:id="rId2"/>
    <sheet name="NOTURNO ROO" sheetId="12" r:id="rId3"/>
    <sheet name="NOTURNO CAE" sheetId="11" r:id="rId4"/>
    <sheet name="NOTURNO CBA" sheetId="4" r:id="rId5"/>
    <sheet name="DIURNO SIC" sheetId="10" r:id="rId6"/>
    <sheet name="DIURNO BRG" sheetId="9" r:id="rId7"/>
    <sheet name="DIURNO ROO" sheetId="8" r:id="rId8"/>
    <sheet name="DIURNO CAE" sheetId="7" r:id="rId9"/>
    <sheet name="DIURNO CBA" sheetId="3" r:id="rId10"/>
    <sheet name="INSUMOS" sheetId="5" r:id="rId11"/>
    <sheet name="RESUMO" sheetId="6" r:id="rId1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5" l="1"/>
  <c r="F11" i="5"/>
  <c r="C137" i="14" l="1"/>
  <c r="C136" i="14"/>
  <c r="C73" i="14"/>
  <c r="C64" i="14"/>
  <c r="C66" i="14" s="1"/>
  <c r="C35" i="14"/>
  <c r="C76" i="14" s="1"/>
  <c r="C84" i="14" s="1"/>
  <c r="C72" i="13"/>
  <c r="C137" i="13"/>
  <c r="C136" i="13"/>
  <c r="C73" i="13"/>
  <c r="C64" i="13"/>
  <c r="C66" i="13" s="1"/>
  <c r="C35" i="13"/>
  <c r="C72" i="12"/>
  <c r="C72" i="4"/>
  <c r="C137" i="12"/>
  <c r="C136" i="12"/>
  <c r="C73" i="12"/>
  <c r="C64" i="12"/>
  <c r="C66" i="12" s="1"/>
  <c r="C35" i="12"/>
  <c r="C137" i="11"/>
  <c r="C136" i="11"/>
  <c r="C73" i="11"/>
  <c r="C64" i="11"/>
  <c r="C66" i="11" s="1"/>
  <c r="C35" i="11"/>
  <c r="C76" i="11" s="1"/>
  <c r="C84" i="11" s="1"/>
  <c r="C152" i="10"/>
  <c r="C137" i="10"/>
  <c r="C136" i="10"/>
  <c r="C73" i="10"/>
  <c r="C64" i="10"/>
  <c r="C66" i="10" s="1"/>
  <c r="C36" i="10"/>
  <c r="C35" i="10"/>
  <c r="C76" i="10" s="1"/>
  <c r="C84" i="10" s="1"/>
  <c r="C72" i="9"/>
  <c r="C152" i="9"/>
  <c r="C137" i="9"/>
  <c r="C136" i="9"/>
  <c r="C73" i="9"/>
  <c r="C64" i="9"/>
  <c r="C66" i="9" s="1"/>
  <c r="C35" i="9"/>
  <c r="C76" i="9" s="1"/>
  <c r="C84" i="9" s="1"/>
  <c r="C72" i="8"/>
  <c r="C152" i="8"/>
  <c r="C137" i="8"/>
  <c r="C136" i="8"/>
  <c r="C73" i="8"/>
  <c r="C66" i="8"/>
  <c r="C64" i="8"/>
  <c r="C35" i="8"/>
  <c r="C152" i="7"/>
  <c r="C137" i="7"/>
  <c r="C136" i="7"/>
  <c r="C76" i="7"/>
  <c r="C84" i="7" s="1"/>
  <c r="C73" i="7"/>
  <c r="C66" i="7"/>
  <c r="C64" i="7"/>
  <c r="C36" i="7"/>
  <c r="C40" i="7" s="1"/>
  <c r="C35" i="7"/>
  <c r="C36" i="14" l="1"/>
  <c r="C38" i="14" s="1"/>
  <c r="C76" i="13"/>
  <c r="C84" i="13" s="1"/>
  <c r="C36" i="13"/>
  <c r="C37" i="13" s="1"/>
  <c r="C76" i="12"/>
  <c r="C84" i="12" s="1"/>
  <c r="C36" i="12"/>
  <c r="C38" i="12" s="1"/>
  <c r="C37" i="12"/>
  <c r="C36" i="11"/>
  <c r="C37" i="11"/>
  <c r="C40" i="10"/>
  <c r="C36" i="9"/>
  <c r="C40" i="9"/>
  <c r="C76" i="8"/>
  <c r="C84" i="8" s="1"/>
  <c r="C36" i="8"/>
  <c r="C40" i="8" s="1"/>
  <c r="D62" i="7"/>
  <c r="C49" i="7"/>
  <c r="C48" i="7"/>
  <c r="C50" i="7"/>
  <c r="C159" i="7"/>
  <c r="E13" i="6"/>
  <c r="C37" i="14" l="1"/>
  <c r="C40" i="14" s="1"/>
  <c r="C38" i="13"/>
  <c r="C40" i="13" s="1"/>
  <c r="C40" i="12"/>
  <c r="C38" i="11"/>
  <c r="C40" i="11" s="1"/>
  <c r="D62" i="10"/>
  <c r="C49" i="10"/>
  <c r="C50" i="10"/>
  <c r="C48" i="10"/>
  <c r="C51" i="10" s="1"/>
  <c r="C159" i="10"/>
  <c r="D57" i="10"/>
  <c r="C48" i="9"/>
  <c r="D62" i="9"/>
  <c r="C50" i="9"/>
  <c r="C49" i="9"/>
  <c r="C159" i="9"/>
  <c r="C50" i="8"/>
  <c r="C159" i="8"/>
  <c r="D57" i="8"/>
  <c r="D62" i="8"/>
  <c r="C49" i="8"/>
  <c r="C48" i="8"/>
  <c r="C51" i="8" s="1"/>
  <c r="D59" i="8" s="1"/>
  <c r="D60" i="8"/>
  <c r="C51" i="7"/>
  <c r="C72" i="3"/>
  <c r="C73" i="3"/>
  <c r="C73" i="4"/>
  <c r="C50" i="14" l="1"/>
  <c r="D62" i="14"/>
  <c r="C49" i="14"/>
  <c r="C48" i="14"/>
  <c r="C51" i="14" s="1"/>
  <c r="C159" i="14"/>
  <c r="C50" i="13"/>
  <c r="D62" i="13"/>
  <c r="C49" i="13"/>
  <c r="C48" i="13"/>
  <c r="C159" i="13"/>
  <c r="D62" i="12"/>
  <c r="C49" i="12"/>
  <c r="C159" i="12"/>
  <c r="C50" i="12"/>
  <c r="C48" i="12"/>
  <c r="C51" i="12" s="1"/>
  <c r="D59" i="12" s="1"/>
  <c r="C50" i="11"/>
  <c r="C48" i="11"/>
  <c r="C51" i="11" s="1"/>
  <c r="D62" i="11"/>
  <c r="C49" i="11"/>
  <c r="C159" i="11"/>
  <c r="C99" i="10"/>
  <c r="C82" i="10"/>
  <c r="D58" i="10"/>
  <c r="D65" i="10"/>
  <c r="C93" i="10" s="1"/>
  <c r="C97" i="10" s="1"/>
  <c r="D60" i="10"/>
  <c r="D61" i="10"/>
  <c r="D64" i="10" s="1"/>
  <c r="D66" i="10" s="1"/>
  <c r="C83" i="10" s="1"/>
  <c r="D59" i="10"/>
  <c r="D63" i="10"/>
  <c r="C51" i="9"/>
  <c r="C82" i="8"/>
  <c r="C99" i="8"/>
  <c r="D61" i="8"/>
  <c r="D65" i="8"/>
  <c r="C93" i="8" s="1"/>
  <c r="C97" i="8" s="1"/>
  <c r="D58" i="8"/>
  <c r="D64" i="8" s="1"/>
  <c r="D66" i="8" s="1"/>
  <c r="C83" i="8" s="1"/>
  <c r="D63" i="8"/>
  <c r="C99" i="7"/>
  <c r="C82" i="7"/>
  <c r="D65" i="7"/>
  <c r="C93" i="7" s="1"/>
  <c r="C97" i="7" s="1"/>
  <c r="D61" i="7"/>
  <c r="D58" i="7"/>
  <c r="D57" i="7"/>
  <c r="D59" i="7"/>
  <c r="D63" i="7"/>
  <c r="D60" i="7"/>
  <c r="C136" i="3"/>
  <c r="K24" i="5"/>
  <c r="K23" i="5"/>
  <c r="K21" i="5"/>
  <c r="K20" i="5"/>
  <c r="K25" i="5" s="1"/>
  <c r="K26" i="5" s="1"/>
  <c r="K19" i="5"/>
  <c r="K18" i="5"/>
  <c r="K17" i="5"/>
  <c r="K16" i="5"/>
  <c r="C82" i="14" l="1"/>
  <c r="C99" i="14"/>
  <c r="D57" i="14"/>
  <c r="D61" i="14"/>
  <c r="D59" i="14"/>
  <c r="D58" i="14"/>
  <c r="D65" i="14"/>
  <c r="C93" i="14" s="1"/>
  <c r="C97" i="14" s="1"/>
  <c r="D60" i="14"/>
  <c r="D63" i="14"/>
  <c r="C51" i="13"/>
  <c r="D60" i="12"/>
  <c r="D57" i="12"/>
  <c r="D58" i="12"/>
  <c r="D63" i="12"/>
  <c r="D61" i="12"/>
  <c r="C99" i="12"/>
  <c r="C82" i="12"/>
  <c r="D65" i="12"/>
  <c r="C93" i="12" s="1"/>
  <c r="C97" i="12" s="1"/>
  <c r="C99" i="11"/>
  <c r="C82" i="11"/>
  <c r="D59" i="11"/>
  <c r="D65" i="11"/>
  <c r="C93" i="11" s="1"/>
  <c r="C97" i="11" s="1"/>
  <c r="D63" i="11"/>
  <c r="D60" i="11"/>
  <c r="D57" i="11"/>
  <c r="D61" i="11"/>
  <c r="D58" i="11"/>
  <c r="C85" i="10"/>
  <c r="C82" i="9"/>
  <c r="C99" i="9"/>
  <c r="D61" i="9"/>
  <c r="D65" i="9"/>
  <c r="C93" i="9" s="1"/>
  <c r="C97" i="9" s="1"/>
  <c r="D58" i="9"/>
  <c r="D57" i="9"/>
  <c r="D59" i="9"/>
  <c r="D63" i="9"/>
  <c r="D60" i="9"/>
  <c r="C85" i="8"/>
  <c r="D64" i="7"/>
  <c r="D66" i="7" s="1"/>
  <c r="C83" i="7" s="1"/>
  <c r="C85" i="7" s="1"/>
  <c r="E40" i="5"/>
  <c r="E39" i="5"/>
  <c r="E41" i="5"/>
  <c r="E43" i="5" s="1"/>
  <c r="E36" i="5"/>
  <c r="E35" i="5"/>
  <c r="E24" i="5"/>
  <c r="E38" i="5"/>
  <c r="E34" i="5"/>
  <c r="E10" i="5"/>
  <c r="D64" i="14" l="1"/>
  <c r="D66" i="14" s="1"/>
  <c r="C83" i="14" s="1"/>
  <c r="C85" i="14" s="1"/>
  <c r="C99" i="13"/>
  <c r="C82" i="13"/>
  <c r="D63" i="13"/>
  <c r="D58" i="13"/>
  <c r="D57" i="13"/>
  <c r="D60" i="13"/>
  <c r="D65" i="13"/>
  <c r="C93" i="13" s="1"/>
  <c r="C97" i="13" s="1"/>
  <c r="D59" i="13"/>
  <c r="D61" i="13"/>
  <c r="D64" i="12"/>
  <c r="D66" i="12" s="1"/>
  <c r="C83" i="12" s="1"/>
  <c r="C85" i="12" s="1"/>
  <c r="D64" i="11"/>
  <c r="D66" i="11" s="1"/>
  <c r="C83" i="11" s="1"/>
  <c r="C85" i="11" s="1"/>
  <c r="C160" i="10"/>
  <c r="C95" i="10"/>
  <c r="C91" i="10"/>
  <c r="D64" i="9"/>
  <c r="D66" i="9" s="1"/>
  <c r="C83" i="9" s="1"/>
  <c r="C85" i="9" s="1"/>
  <c r="C160" i="8"/>
  <c r="C95" i="8"/>
  <c r="C91" i="8"/>
  <c r="C160" i="7"/>
  <c r="C91" i="7"/>
  <c r="C95" i="7"/>
  <c r="C137" i="3"/>
  <c r="C137" i="4"/>
  <c r="C160" i="14" l="1"/>
  <c r="C95" i="14"/>
  <c r="C91" i="14"/>
  <c r="D64" i="13"/>
  <c r="D66" i="13" s="1"/>
  <c r="C83" i="13" s="1"/>
  <c r="C85" i="13" s="1"/>
  <c r="C160" i="12"/>
  <c r="C91" i="12"/>
  <c r="C95" i="12"/>
  <c r="C160" i="11"/>
  <c r="C91" i="11"/>
  <c r="C95" i="11"/>
  <c r="C92" i="10"/>
  <c r="C94" i="10"/>
  <c r="C98" i="10"/>
  <c r="C96" i="10"/>
  <c r="C160" i="9"/>
  <c r="C91" i="9"/>
  <c r="C95" i="9"/>
  <c r="C94" i="8"/>
  <c r="C92" i="8"/>
  <c r="C96" i="8"/>
  <c r="C98" i="8"/>
  <c r="C92" i="7"/>
  <c r="C94" i="7"/>
  <c r="C98" i="7"/>
  <c r="C96" i="7"/>
  <c r="C35" i="4"/>
  <c r="C35" i="3"/>
  <c r="C94" i="14" l="1"/>
  <c r="C92" i="14"/>
  <c r="C98" i="14"/>
  <c r="C96" i="14"/>
  <c r="C160" i="13"/>
  <c r="C91" i="13"/>
  <c r="C95" i="13"/>
  <c r="C98" i="12"/>
  <c r="C96" i="12"/>
  <c r="C94" i="12"/>
  <c r="C92" i="12"/>
  <c r="C98" i="11"/>
  <c r="C96" i="11"/>
  <c r="C94" i="11"/>
  <c r="C100" i="11" s="1"/>
  <c r="C92" i="11"/>
  <c r="C100" i="10"/>
  <c r="C94" i="9"/>
  <c r="C92" i="9"/>
  <c r="C98" i="9"/>
  <c r="C96" i="9"/>
  <c r="C100" i="8"/>
  <c r="C100" i="7"/>
  <c r="C152" i="3"/>
  <c r="E30" i="5"/>
  <c r="E31" i="5" s="1"/>
  <c r="E32" i="5" s="1"/>
  <c r="E23" i="5"/>
  <c r="E22" i="5"/>
  <c r="E21" i="5"/>
  <c r="E20" i="5"/>
  <c r="E19" i="5"/>
  <c r="E18" i="5"/>
  <c r="E17" i="5"/>
  <c r="E16" i="5"/>
  <c r="E9" i="5"/>
  <c r="E8" i="5"/>
  <c r="E7" i="5"/>
  <c r="E6" i="5"/>
  <c r="E5" i="5"/>
  <c r="E4" i="5"/>
  <c r="E3" i="5"/>
  <c r="E2" i="5"/>
  <c r="C100" i="14" l="1"/>
  <c r="C128" i="14" s="1"/>
  <c r="C94" i="13"/>
  <c r="C100" i="13" s="1"/>
  <c r="C92" i="13"/>
  <c r="C98" i="13"/>
  <c r="C96" i="13"/>
  <c r="C100" i="12"/>
  <c r="C109" i="12" s="1"/>
  <c r="C114" i="12" s="1"/>
  <c r="C127" i="12" s="1"/>
  <c r="C109" i="11"/>
  <c r="C114" i="11" s="1"/>
  <c r="C127" i="11" s="1"/>
  <c r="C128" i="11"/>
  <c r="C161" i="11"/>
  <c r="C120" i="11"/>
  <c r="C121" i="11" s="1"/>
  <c r="C109" i="10"/>
  <c r="C114" i="10" s="1"/>
  <c r="C127" i="10" s="1"/>
  <c r="C161" i="10"/>
  <c r="C120" i="10"/>
  <c r="C100" i="9"/>
  <c r="C109" i="9"/>
  <c r="C114" i="9" s="1"/>
  <c r="C127" i="9" s="1"/>
  <c r="C161" i="9"/>
  <c r="C120" i="9"/>
  <c r="C109" i="8"/>
  <c r="C114" i="8" s="1"/>
  <c r="C127" i="8" s="1"/>
  <c r="C161" i="8"/>
  <c r="C120" i="8"/>
  <c r="C109" i="7"/>
  <c r="C114" i="7" s="1"/>
  <c r="C127" i="7" s="1"/>
  <c r="C161" i="7"/>
  <c r="C120" i="7"/>
  <c r="E11" i="5"/>
  <c r="E12" i="5" s="1"/>
  <c r="E25" i="5"/>
  <c r="E26" i="5" s="1"/>
  <c r="C76" i="4"/>
  <c r="C84" i="4" s="1"/>
  <c r="C64" i="4"/>
  <c r="C66" i="4" s="1"/>
  <c r="C36" i="4"/>
  <c r="C38" i="4" s="1"/>
  <c r="C135" i="11" l="1"/>
  <c r="C139" i="11" s="1"/>
  <c r="C163" i="11" s="1"/>
  <c r="C135" i="9"/>
  <c r="C139" i="9" s="1"/>
  <c r="C163" i="9" s="1"/>
  <c r="C135" i="8"/>
  <c r="C139" i="8" s="1"/>
  <c r="C163" i="8" s="1"/>
  <c r="C135" i="7"/>
  <c r="C139" i="7" s="1"/>
  <c r="C163" i="7" s="1"/>
  <c r="C135" i="13"/>
  <c r="C139" i="13" s="1"/>
  <c r="C163" i="13" s="1"/>
  <c r="C135" i="10"/>
  <c r="C139" i="10" s="1"/>
  <c r="C163" i="10" s="1"/>
  <c r="C135" i="14"/>
  <c r="C139" i="14" s="1"/>
  <c r="C163" i="14" s="1"/>
  <c r="C135" i="12"/>
  <c r="C139" i="12" s="1"/>
  <c r="C163" i="12" s="1"/>
  <c r="C109" i="14"/>
  <c r="C114" i="14" s="1"/>
  <c r="C127" i="14" s="1"/>
  <c r="C129" i="14" s="1"/>
  <c r="C120" i="14"/>
  <c r="C121" i="14" s="1"/>
  <c r="C161" i="14"/>
  <c r="C109" i="13"/>
  <c r="C114" i="13" s="1"/>
  <c r="C127" i="13" s="1"/>
  <c r="C129" i="13" s="1"/>
  <c r="C128" i="13"/>
  <c r="C161" i="13"/>
  <c r="C120" i="13"/>
  <c r="C121" i="13" s="1"/>
  <c r="C161" i="12"/>
  <c r="C128" i="12"/>
  <c r="C129" i="12" s="1"/>
  <c r="C120" i="12"/>
  <c r="C121" i="12" s="1"/>
  <c r="C129" i="11"/>
  <c r="C128" i="10"/>
  <c r="C121" i="10"/>
  <c r="C129" i="10"/>
  <c r="C129" i="9"/>
  <c r="C121" i="9"/>
  <c r="C128" i="9"/>
  <c r="C128" i="8"/>
  <c r="C121" i="8"/>
  <c r="C129" i="8"/>
  <c r="C128" i="7"/>
  <c r="C129" i="7" s="1"/>
  <c r="C121" i="7"/>
  <c r="C136" i="4"/>
  <c r="C135" i="4"/>
  <c r="C135" i="3"/>
  <c r="C37" i="4"/>
  <c r="C40" i="4" s="1"/>
  <c r="C76" i="3"/>
  <c r="C64" i="3"/>
  <c r="C66" i="3" s="1"/>
  <c r="D146" i="14" l="1"/>
  <c r="D152" i="14"/>
  <c r="D153" i="14" s="1"/>
  <c r="C165" i="14" s="1"/>
  <c r="D148" i="14"/>
  <c r="D151" i="14"/>
  <c r="C162" i="14"/>
  <c r="C164" i="14" s="1"/>
  <c r="D145" i="14"/>
  <c r="D149" i="14"/>
  <c r="C162" i="13"/>
  <c r="C164" i="13" s="1"/>
  <c r="D152" i="13"/>
  <c r="D153" i="13" s="1"/>
  <c r="C165" i="13" s="1"/>
  <c r="D151" i="13"/>
  <c r="D149" i="13"/>
  <c r="D148" i="13"/>
  <c r="D145" i="13"/>
  <c r="D146" i="13"/>
  <c r="C162" i="12"/>
  <c r="C164" i="12" s="1"/>
  <c r="D145" i="12"/>
  <c r="D149" i="12"/>
  <c r="D146" i="12"/>
  <c r="D152" i="12"/>
  <c r="D153" i="12" s="1"/>
  <c r="C165" i="12" s="1"/>
  <c r="D151" i="12"/>
  <c r="D148" i="12"/>
  <c r="C162" i="11"/>
  <c r="C164" i="11" s="1"/>
  <c r="D149" i="11"/>
  <c r="D146" i="11"/>
  <c r="D148" i="11"/>
  <c r="D145" i="11"/>
  <c r="D152" i="11"/>
  <c r="D153" i="11" s="1"/>
  <c r="C165" i="11" s="1"/>
  <c r="D151" i="11"/>
  <c r="C162" i="10"/>
  <c r="C164" i="10" s="1"/>
  <c r="D152" i="10"/>
  <c r="D153" i="10" s="1"/>
  <c r="C165" i="10" s="1"/>
  <c r="D151" i="10"/>
  <c r="D149" i="10"/>
  <c r="D148" i="10"/>
  <c r="D146" i="10"/>
  <c r="D145" i="10"/>
  <c r="C162" i="9"/>
  <c r="C164" i="9" s="1"/>
  <c r="D149" i="9"/>
  <c r="D146" i="9"/>
  <c r="D151" i="9"/>
  <c r="D145" i="9"/>
  <c r="D148" i="9"/>
  <c r="D152" i="9"/>
  <c r="D153" i="9" s="1"/>
  <c r="C165" i="9" s="1"/>
  <c r="C162" i="8"/>
  <c r="C164" i="8" s="1"/>
  <c r="D148" i="8"/>
  <c r="D152" i="8"/>
  <c r="D153" i="8" s="1"/>
  <c r="C165" i="8" s="1"/>
  <c r="D151" i="8"/>
  <c r="D145" i="8"/>
  <c r="D146" i="8"/>
  <c r="D149" i="8"/>
  <c r="C162" i="7"/>
  <c r="C164" i="7" s="1"/>
  <c r="D149" i="7"/>
  <c r="D148" i="7"/>
  <c r="D146" i="7"/>
  <c r="D145" i="7"/>
  <c r="D152" i="7"/>
  <c r="D153" i="7" s="1"/>
  <c r="C165" i="7" s="1"/>
  <c r="D151" i="7"/>
  <c r="C50" i="4"/>
  <c r="D62" i="4"/>
  <c r="C48" i="4"/>
  <c r="C159" i="4"/>
  <c r="C49" i="4"/>
  <c r="C36" i="3"/>
  <c r="C166" i="13" l="1"/>
  <c r="G6" i="6" s="1"/>
  <c r="H6" i="6" s="1"/>
  <c r="I6" i="6" s="1"/>
  <c r="C166" i="14"/>
  <c r="G12" i="6" s="1"/>
  <c r="H12" i="6" s="1"/>
  <c r="I12" i="6" s="1"/>
  <c r="C166" i="12"/>
  <c r="G10" i="6" s="1"/>
  <c r="H10" i="6" s="1"/>
  <c r="I10" i="6" s="1"/>
  <c r="C166" i="11"/>
  <c r="G8" i="6" s="1"/>
  <c r="H8" i="6" s="1"/>
  <c r="I8" i="6" s="1"/>
  <c r="C166" i="10"/>
  <c r="G11" i="6" s="1"/>
  <c r="H11" i="6" s="1"/>
  <c r="I11" i="6" s="1"/>
  <c r="C166" i="9"/>
  <c r="G5" i="6" s="1"/>
  <c r="H5" i="6" s="1"/>
  <c r="I5" i="6" s="1"/>
  <c r="C166" i="8"/>
  <c r="G9" i="6" s="1"/>
  <c r="H9" i="6" s="1"/>
  <c r="I9" i="6" s="1"/>
  <c r="C166" i="7"/>
  <c r="G7" i="6" s="1"/>
  <c r="H7" i="6" s="1"/>
  <c r="I7" i="6" s="1"/>
  <c r="C51" i="4"/>
  <c r="C99" i="4" l="1"/>
  <c r="C82" i="4"/>
  <c r="D65" i="4"/>
  <c r="C93" i="4" s="1"/>
  <c r="D57" i="4"/>
  <c r="D59" i="4"/>
  <c r="D63" i="4"/>
  <c r="D60" i="4"/>
  <c r="D58" i="4"/>
  <c r="D61" i="4"/>
  <c r="D64" i="4" l="1"/>
  <c r="D66" i="4" s="1"/>
  <c r="C83" i="4" s="1"/>
  <c r="C85" i="4" s="1"/>
  <c r="C97" i="4"/>
  <c r="C40" i="3"/>
  <c r="C50" i="3" l="1"/>
  <c r="C159" i="3"/>
  <c r="C95" i="4"/>
  <c r="C98" i="4" s="1"/>
  <c r="C49" i="3"/>
  <c r="C48" i="3"/>
  <c r="C91" i="4"/>
  <c r="C94" i="4" s="1"/>
  <c r="C160" i="4"/>
  <c r="C84" i="3"/>
  <c r="D62" i="3"/>
  <c r="C51" i="3" l="1"/>
  <c r="C96" i="4"/>
  <c r="C100" i="4"/>
  <c r="C109" i="4" s="1"/>
  <c r="C92" i="4"/>
  <c r="D61" i="3" l="1"/>
  <c r="D57" i="3"/>
  <c r="D63" i="3"/>
  <c r="C161" i="4"/>
  <c r="C120" i="4"/>
  <c r="C121" i="4" s="1"/>
  <c r="D58" i="3"/>
  <c r="D59" i="3"/>
  <c r="C82" i="3"/>
  <c r="C99" i="3"/>
  <c r="D65" i="3"/>
  <c r="C93" i="3" s="1"/>
  <c r="C97" i="3" s="1"/>
  <c r="C128" i="4"/>
  <c r="C114" i="4"/>
  <c r="C127" i="4" s="1"/>
  <c r="D60" i="3"/>
  <c r="D64" i="3" l="1"/>
  <c r="D66" i="3" s="1"/>
  <c r="C83" i="3" s="1"/>
  <c r="C85" i="3" s="1"/>
  <c r="C91" i="3" s="1"/>
  <c r="C94" i="3" s="1"/>
  <c r="C129" i="4"/>
  <c r="C162" i="4" l="1"/>
  <c r="C95" i="3"/>
  <c r="C98" i="3" s="1"/>
  <c r="C100" i="3" s="1"/>
  <c r="C160" i="3"/>
  <c r="C139" i="4"/>
  <c r="D146" i="4" s="1"/>
  <c r="C92" i="3"/>
  <c r="D149" i="4" l="1"/>
  <c r="D148" i="4"/>
  <c r="D151" i="4"/>
  <c r="D145" i="4"/>
  <c r="C161" i="3"/>
  <c r="C120" i="3"/>
  <c r="C121" i="3" s="1"/>
  <c r="C109" i="3"/>
  <c r="C96" i="3"/>
  <c r="D152" i="4"/>
  <c r="D153" i="4" s="1"/>
  <c r="C165" i="4" s="1"/>
  <c r="C163" i="4"/>
  <c r="C164" i="4" s="1"/>
  <c r="C128" i="3" l="1"/>
  <c r="C166" i="4"/>
  <c r="G4" i="6" s="1"/>
  <c r="H4" i="6" s="1"/>
  <c r="C114" i="3"/>
  <c r="C127" i="3" s="1"/>
  <c r="I4" i="6" l="1"/>
  <c r="C129" i="3"/>
  <c r="C139" i="3" l="1"/>
  <c r="C162" i="3"/>
  <c r="C163" i="3" l="1"/>
  <c r="C164" i="3" s="1"/>
  <c r="D151" i="3"/>
  <c r="D145" i="3"/>
  <c r="D149" i="3"/>
  <c r="D148" i="3"/>
  <c r="D146" i="3"/>
  <c r="D152" i="3"/>
  <c r="D153" i="3" s="1"/>
  <c r="C165" i="3" s="1"/>
  <c r="C166" i="3" l="1"/>
  <c r="G3" i="6" s="1"/>
  <c r="H3" i="6" s="1"/>
  <c r="I3" i="6" l="1"/>
  <c r="I13" i="6" s="1"/>
  <c r="H13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ELIEZER GENTIL DE SOUZA</author>
    <author>Eliezer Gentil de Souza</author>
  </authors>
  <commentList>
    <comment ref="C37" authorId="0" shapeId="0" xr:uid="{B010EE76-78B1-43C4-9F7E-E27806AAF5DF}">
      <text>
        <r>
          <rPr>
            <b/>
            <sz val="9"/>
            <color indexed="81"/>
            <rFont val="Segoe UI"/>
            <family val="2"/>
          </rPr>
          <t>REM X 58,33% (MPOG) X 20%</t>
        </r>
      </text>
    </comment>
    <comment ref="C38" authorId="0" shapeId="0" xr:uid="{03CD6C9D-99B0-44FD-B869-7B55384DC551}">
      <text>
        <r>
          <rPr>
            <b/>
            <sz val="9"/>
            <color indexed="81"/>
            <rFont val="Segoe UI"/>
            <family val="2"/>
          </rPr>
          <t>REM * 8,33%*1,2 (20% A MAIS)</t>
        </r>
      </text>
    </comment>
    <comment ref="C91" authorId="0" shapeId="0" xr:uid="{86E2CCAE-7EC0-4D2A-A0A8-7F31BE052EE8}">
      <text>
        <r>
          <rPr>
            <b/>
            <sz val="9"/>
            <color indexed="81"/>
            <rFont val="Segoe UI"/>
            <family val="2"/>
          </rPr>
          <t>Base de cálculo: Módulo 1 + Módulo 2 (sem a incidência dos encargos previdenciários
correspondentes ao GPS).</t>
        </r>
      </text>
    </comment>
    <comment ref="C94" authorId="0" shapeId="0" xr:uid="{A92412AE-3900-4ACF-ABA1-41AF8FBFA5AE}">
      <text>
        <r>
          <rPr>
            <b/>
            <sz val="9"/>
            <color indexed="81"/>
            <rFont val="Segoe UI"/>
            <family val="2"/>
          </rPr>
          <t>59,06% CT 2019 DF</t>
        </r>
      </text>
    </comment>
    <comment ref="C98" authorId="0" shapeId="0" xr:uid="{C1CBC682-4440-483E-BC84-9634C672EFD3}">
      <text>
        <r>
          <rPr>
            <b/>
            <sz val="9"/>
            <color indexed="81"/>
            <rFont val="Segoe UI"/>
            <family val="2"/>
          </rPr>
          <t>6,56% CT 2019 DF</t>
        </r>
      </text>
    </comment>
    <comment ref="C99" authorId="0" shapeId="0" xr:uid="{64208D8C-BC4B-4B24-8DBE-78688C81AF6D}">
      <text>
        <r>
          <rPr>
            <b/>
            <sz val="9"/>
            <color indexed="81"/>
            <rFont val="Segoe UI"/>
            <family val="2"/>
          </rPr>
          <t>CT 2019 DF</t>
        </r>
      </text>
    </comment>
    <comment ref="C109" authorId="0" shapeId="0" xr:uid="{65DE2298-2449-42E1-9065-62E0D3D094B6}">
      <text>
        <r>
          <rPr>
            <b/>
            <sz val="9"/>
            <color indexed="81"/>
            <rFont val="Segoe UI"/>
            <family val="2"/>
          </rPr>
          <t>DIAS AO ANO (21,3562)*CUSTO DIÁRIO/12</t>
        </r>
      </text>
    </comment>
    <comment ref="B112" authorId="0" shapeId="0" xr:uid="{E011F837-BC5F-41A1-8242-F5E6524C0139}">
      <text>
        <r>
          <rPr>
            <b/>
            <sz val="9"/>
            <color indexed="81"/>
            <rFont val="Segoe UI"/>
            <family val="2"/>
          </rPr>
          <t>encargos, como férias, adicional de férias, 13º salário, encargos previdenciários, FGTS, bem como benefícios como a assistência médica</t>
        </r>
      </text>
    </comment>
    <comment ref="C120" authorId="0" shapeId="0" xr:uid="{287835EA-C5FD-423B-8751-73B241F1FBAB}">
      <text>
        <r>
          <rPr>
            <b/>
            <sz val="9"/>
            <color indexed="81"/>
            <rFont val="Segoe UI"/>
            <family val="2"/>
          </rPr>
          <t>MOD1+2+3/220(H)X15(DIAS)</t>
        </r>
      </text>
    </comment>
    <comment ref="C128" authorId="0" shapeId="0" xr:uid="{847F6D99-8F76-454D-8B89-11F9E0743F9E}">
      <text>
        <r>
          <rPr>
            <b/>
            <sz val="9"/>
            <color indexed="81"/>
            <rFont val="Segoe UI"/>
            <family val="2"/>
          </rPr>
          <t>VALOR DA HORA X 15</t>
        </r>
      </text>
    </comment>
    <comment ref="C139" authorId="1" shapeId="0" xr:uid="{94C8F5A5-1E29-4117-B2DA-F3A00895EB59}">
      <text>
        <r>
          <rPr>
            <b/>
            <sz val="9"/>
            <color indexed="81"/>
            <rFont val="Segoe UI"/>
            <family val="2"/>
          </rPr>
          <t xml:space="preserve">Ou (MOD1+MOD2+MOD3+MOD4)*3,05% CT 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ELIEZER GENTIL DE SOUZA</author>
    <author>Eliezer Gentil de Souza</author>
  </authors>
  <commentList>
    <comment ref="C91" authorId="0" shapeId="0" xr:uid="{00000000-0006-0000-0100-000001000000}">
      <text>
        <r>
          <rPr>
            <b/>
            <sz val="9"/>
            <color indexed="81"/>
            <rFont val="Segoe UI"/>
            <family val="2"/>
          </rPr>
          <t>Base de cálculo: Módulo 1 + Módulo 2 (sem a incidência dos encargos previdenciários
correspondentes ao GPS).</t>
        </r>
      </text>
    </comment>
    <comment ref="C94" authorId="0" shapeId="0" xr:uid="{00000000-0006-0000-0100-000002000000}">
      <text>
        <r>
          <rPr>
            <b/>
            <sz val="9"/>
            <color indexed="81"/>
            <rFont val="Segoe UI"/>
            <family val="2"/>
          </rPr>
          <t>59,06% CT 2019 DF</t>
        </r>
      </text>
    </comment>
    <comment ref="C98" authorId="0" shapeId="0" xr:uid="{00000000-0006-0000-0100-000003000000}">
      <text>
        <r>
          <rPr>
            <b/>
            <sz val="9"/>
            <color indexed="81"/>
            <rFont val="Segoe UI"/>
            <family val="2"/>
          </rPr>
          <t>6,56% CT 2019 DF</t>
        </r>
      </text>
    </comment>
    <comment ref="C99" authorId="0" shapeId="0" xr:uid="{00000000-0006-0000-0100-000004000000}">
      <text>
        <r>
          <rPr>
            <b/>
            <sz val="9"/>
            <color indexed="81"/>
            <rFont val="Segoe UI"/>
            <family val="2"/>
          </rPr>
          <t>CT 2019 DF</t>
        </r>
      </text>
    </comment>
    <comment ref="C120" authorId="0" shapeId="0" xr:uid="{00000000-0006-0000-0100-000007000000}">
      <text>
        <r>
          <rPr>
            <b/>
            <sz val="9"/>
            <color indexed="81"/>
            <rFont val="Segoe UI"/>
            <family val="2"/>
          </rPr>
          <t>MOD1+2+3/220(H)X15(DIAS)</t>
        </r>
      </text>
    </comment>
    <comment ref="C128" authorId="0" shapeId="0" xr:uid="{00000000-0006-0000-0100-000008000000}">
      <text>
        <r>
          <rPr>
            <b/>
            <sz val="9"/>
            <color indexed="81"/>
            <rFont val="Segoe UI"/>
            <family val="2"/>
          </rPr>
          <t>VALOR DA HORA X 15</t>
        </r>
      </text>
    </comment>
    <comment ref="C139" authorId="1" shapeId="0" xr:uid="{E1268CC9-62F4-4C8B-8450-296E7CA24DAF}">
      <text>
        <r>
          <rPr>
            <b/>
            <sz val="9"/>
            <color indexed="81"/>
            <rFont val="Segoe UI"/>
            <family val="2"/>
          </rPr>
          <t>Ou (MOD1+MOD2+MOD3+MOD4)*3,05%</t>
        </r>
      </text>
    </comment>
    <comment ref="D152" authorId="0" shapeId="0" xr:uid="{00000000-0006-0000-0100-00000B000000}">
      <text>
        <r>
          <rPr>
            <b/>
            <sz val="9"/>
            <color indexed="81"/>
            <rFont val="Segoe UI"/>
            <family val="2"/>
          </rPr>
          <t>MODULOS DE 01 A 05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ELIEZER GENTIL DE SOUZA</author>
    <author>Eliezer Gentil de Souza</author>
  </authors>
  <commentList>
    <comment ref="C37" authorId="0" shapeId="0" xr:uid="{42CC1D08-8862-4EFD-822A-E38FFE49DE07}">
      <text>
        <r>
          <rPr>
            <b/>
            <sz val="9"/>
            <color indexed="81"/>
            <rFont val="Segoe UI"/>
            <family val="2"/>
          </rPr>
          <t>REM X 58,33% (MPOG) X 20%</t>
        </r>
      </text>
    </comment>
    <comment ref="C38" authorId="0" shapeId="0" xr:uid="{D67A2E13-ECE7-4C09-9DEE-4DE3F5058DCC}">
      <text>
        <r>
          <rPr>
            <b/>
            <sz val="9"/>
            <color indexed="81"/>
            <rFont val="Segoe UI"/>
            <family val="2"/>
          </rPr>
          <t>REM * 8,33%*1,2 (20% A MAIS)</t>
        </r>
      </text>
    </comment>
    <comment ref="C91" authorId="0" shapeId="0" xr:uid="{C5E9B2E4-C2D2-4850-AF61-5638EAB7D2D3}">
      <text>
        <r>
          <rPr>
            <b/>
            <sz val="9"/>
            <color indexed="81"/>
            <rFont val="Segoe UI"/>
            <family val="2"/>
          </rPr>
          <t>Base de cálculo: Módulo 1 + Módulo 2 (sem a incidência dos encargos previdenciários
correspondentes ao GPS).</t>
        </r>
      </text>
    </comment>
    <comment ref="C94" authorId="0" shapeId="0" xr:uid="{38E00182-A513-470D-A35D-CF077A6FF567}">
      <text>
        <r>
          <rPr>
            <b/>
            <sz val="9"/>
            <color indexed="81"/>
            <rFont val="Segoe UI"/>
            <family val="2"/>
          </rPr>
          <t>59,06% CT 2019 DF</t>
        </r>
      </text>
    </comment>
    <comment ref="C98" authorId="0" shapeId="0" xr:uid="{C1976102-1DDC-4349-A733-D42889E2A9D7}">
      <text>
        <r>
          <rPr>
            <b/>
            <sz val="9"/>
            <color indexed="81"/>
            <rFont val="Segoe UI"/>
            <family val="2"/>
          </rPr>
          <t>6,56% CT 2019 DF</t>
        </r>
      </text>
    </comment>
    <comment ref="C99" authorId="0" shapeId="0" xr:uid="{62CE4F5E-442F-4D5B-ADCA-F2524302C661}">
      <text>
        <r>
          <rPr>
            <b/>
            <sz val="9"/>
            <color indexed="81"/>
            <rFont val="Segoe UI"/>
            <family val="2"/>
          </rPr>
          <t>CT 2019 DF</t>
        </r>
      </text>
    </comment>
    <comment ref="C109" authorId="0" shapeId="0" xr:uid="{C1F49340-67E1-444F-97D5-7362C9BAC267}">
      <text>
        <r>
          <rPr>
            <b/>
            <sz val="9"/>
            <color indexed="81"/>
            <rFont val="Segoe UI"/>
            <family val="2"/>
          </rPr>
          <t>DIAS AO ANO (21,3562)*CUSTO DIÁRIO/12</t>
        </r>
      </text>
    </comment>
    <comment ref="B112" authorId="0" shapeId="0" xr:uid="{F680FC4A-FABE-4EB3-B697-B84E4E62F102}">
      <text>
        <r>
          <rPr>
            <b/>
            <sz val="9"/>
            <color indexed="81"/>
            <rFont val="Segoe UI"/>
            <family val="2"/>
          </rPr>
          <t>encargos, como férias, adicional de férias, 13º salário, encargos previdenciários, FGTS, bem como benefícios como a assistência médica</t>
        </r>
      </text>
    </comment>
    <comment ref="C120" authorId="0" shapeId="0" xr:uid="{06C3AC29-AC33-4181-9098-9D179E587C0A}">
      <text>
        <r>
          <rPr>
            <b/>
            <sz val="9"/>
            <color indexed="81"/>
            <rFont val="Segoe UI"/>
            <family val="2"/>
          </rPr>
          <t>MOD1+2+3/220(H)X15(DIAS)</t>
        </r>
      </text>
    </comment>
    <comment ref="C128" authorId="0" shapeId="0" xr:uid="{7F977059-4326-4862-99AD-C849A758DCE5}">
      <text>
        <r>
          <rPr>
            <b/>
            <sz val="9"/>
            <color indexed="81"/>
            <rFont val="Segoe UI"/>
            <family val="2"/>
          </rPr>
          <t>VALOR DA HORA X 15</t>
        </r>
      </text>
    </comment>
    <comment ref="C139" authorId="1" shapeId="0" xr:uid="{414FF83B-4C90-4B49-B9F9-15A6F22C71F8}">
      <text>
        <r>
          <rPr>
            <b/>
            <sz val="9"/>
            <color indexed="81"/>
            <rFont val="Segoe UI"/>
            <family val="2"/>
          </rPr>
          <t xml:space="preserve">Ou (MOD1+MOD2+MOD3+MOD4)*3,05% CT 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ELIEZER GENTIL DE SOUZA</author>
    <author>Eliezer Gentil de Souza</author>
  </authors>
  <commentList>
    <comment ref="C37" authorId="0" shapeId="0" xr:uid="{F9BDA99D-C265-4E64-B0FF-C5FCA826B7CD}">
      <text>
        <r>
          <rPr>
            <b/>
            <sz val="9"/>
            <color indexed="81"/>
            <rFont val="Segoe UI"/>
            <family val="2"/>
          </rPr>
          <t>REM X 58,33% (MPOG) X 20%</t>
        </r>
      </text>
    </comment>
    <comment ref="C38" authorId="0" shapeId="0" xr:uid="{A6EF9C79-E6BD-43A7-8F6F-1FFBBA9CD077}">
      <text>
        <r>
          <rPr>
            <b/>
            <sz val="9"/>
            <color indexed="81"/>
            <rFont val="Segoe UI"/>
            <family val="2"/>
          </rPr>
          <t>REM * 8,33%*1,2 (20% A MAIS)</t>
        </r>
      </text>
    </comment>
    <comment ref="C91" authorId="0" shapeId="0" xr:uid="{AD4628FF-D165-49E3-8C32-780A1C98D41F}">
      <text>
        <r>
          <rPr>
            <b/>
            <sz val="9"/>
            <color indexed="81"/>
            <rFont val="Segoe UI"/>
            <family val="2"/>
          </rPr>
          <t>Base de cálculo: Módulo 1 + Módulo 2 (sem a incidência dos encargos previdenciários
correspondentes ao GPS).</t>
        </r>
      </text>
    </comment>
    <comment ref="C94" authorId="0" shapeId="0" xr:uid="{236CF302-631E-4FE1-8C52-4D95E52B083E}">
      <text>
        <r>
          <rPr>
            <b/>
            <sz val="9"/>
            <color indexed="81"/>
            <rFont val="Segoe UI"/>
            <family val="2"/>
          </rPr>
          <t>59,06% CT 2019 DF</t>
        </r>
      </text>
    </comment>
    <comment ref="C98" authorId="0" shapeId="0" xr:uid="{2CA178A7-B185-416F-8AC0-4045A3C4B0BC}">
      <text>
        <r>
          <rPr>
            <b/>
            <sz val="9"/>
            <color indexed="81"/>
            <rFont val="Segoe UI"/>
            <family val="2"/>
          </rPr>
          <t>6,56% CT 2019 DF</t>
        </r>
      </text>
    </comment>
    <comment ref="C99" authorId="0" shapeId="0" xr:uid="{549D8E26-399C-4B16-9A4B-E6019387CF7A}">
      <text>
        <r>
          <rPr>
            <b/>
            <sz val="9"/>
            <color indexed="81"/>
            <rFont val="Segoe UI"/>
            <family val="2"/>
          </rPr>
          <t>CT 2019 DF</t>
        </r>
      </text>
    </comment>
    <comment ref="C109" authorId="0" shapeId="0" xr:uid="{A7123C38-9907-4EB0-B459-B4921CBAAD10}">
      <text>
        <r>
          <rPr>
            <b/>
            <sz val="9"/>
            <color indexed="81"/>
            <rFont val="Segoe UI"/>
            <family val="2"/>
          </rPr>
          <t>DIAS AO ANO (21,3562)*CUSTO DIÁRIO/12</t>
        </r>
      </text>
    </comment>
    <comment ref="B112" authorId="0" shapeId="0" xr:uid="{4EEB7379-5A8E-4B7C-93A0-74FD69122672}">
      <text>
        <r>
          <rPr>
            <b/>
            <sz val="9"/>
            <color indexed="81"/>
            <rFont val="Segoe UI"/>
            <family val="2"/>
          </rPr>
          <t>encargos, como férias, adicional de férias, 13º salário, encargos previdenciários, FGTS, bem como benefícios como a assistência médica</t>
        </r>
      </text>
    </comment>
    <comment ref="C120" authorId="0" shapeId="0" xr:uid="{FE2D60EE-67BC-4644-9126-FB5FF20D880B}">
      <text>
        <r>
          <rPr>
            <b/>
            <sz val="9"/>
            <color indexed="81"/>
            <rFont val="Segoe UI"/>
            <family val="2"/>
          </rPr>
          <t>MOD1+2+3/220(H)X15(DIAS)</t>
        </r>
      </text>
    </comment>
    <comment ref="C128" authorId="0" shapeId="0" xr:uid="{8E49D693-E9CF-47B8-A2F8-EE7D99A49C89}">
      <text>
        <r>
          <rPr>
            <b/>
            <sz val="9"/>
            <color indexed="81"/>
            <rFont val="Segoe UI"/>
            <family val="2"/>
          </rPr>
          <t>VALOR DA HORA X 15</t>
        </r>
      </text>
    </comment>
    <comment ref="C139" authorId="1" shapeId="0" xr:uid="{350ED6EA-7C3B-40FA-98A4-B655E332F15A}">
      <text>
        <r>
          <rPr>
            <b/>
            <sz val="9"/>
            <color indexed="81"/>
            <rFont val="Segoe UI"/>
            <family val="2"/>
          </rPr>
          <t xml:space="preserve">Ou (MOD1+MOD2+MOD3+MOD4)*3,05% CT 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ELIEZER GENTIL DE SOUZA</author>
    <author>Eliezer Gentil de Souza</author>
  </authors>
  <commentList>
    <comment ref="C37" authorId="0" shapeId="0" xr:uid="{3ED9B076-4094-4225-B4F6-884912BF1AFF}">
      <text>
        <r>
          <rPr>
            <b/>
            <sz val="9"/>
            <color indexed="81"/>
            <rFont val="Segoe UI"/>
            <family val="2"/>
          </rPr>
          <t>REM X 58,33% (MPOG) X 20%</t>
        </r>
      </text>
    </comment>
    <comment ref="C38" authorId="0" shapeId="0" xr:uid="{C7057207-9029-46CE-886B-E460EAD63A73}">
      <text>
        <r>
          <rPr>
            <b/>
            <sz val="9"/>
            <color indexed="81"/>
            <rFont val="Segoe UI"/>
            <family val="2"/>
          </rPr>
          <t>REM * 8,33%*1,2 (20% A MAIS)</t>
        </r>
      </text>
    </comment>
    <comment ref="C91" authorId="0" shapeId="0" xr:uid="{17D7B8AA-1426-4DE0-8B5A-BC82A5AA4D7A}">
      <text>
        <r>
          <rPr>
            <b/>
            <sz val="9"/>
            <color indexed="81"/>
            <rFont val="Segoe UI"/>
            <family val="2"/>
          </rPr>
          <t>Base de cálculo: Módulo 1 + Módulo 2 (sem a incidência dos encargos previdenciários
correspondentes ao GPS).</t>
        </r>
      </text>
    </comment>
    <comment ref="C94" authorId="0" shapeId="0" xr:uid="{293C089E-6033-452F-85AA-A277946422D7}">
      <text>
        <r>
          <rPr>
            <b/>
            <sz val="9"/>
            <color indexed="81"/>
            <rFont val="Segoe UI"/>
            <family val="2"/>
          </rPr>
          <t>59,06% CT 2019 DF</t>
        </r>
      </text>
    </comment>
    <comment ref="C98" authorId="0" shapeId="0" xr:uid="{4EDA14FD-8B2A-4ECE-A0E3-ABF695AC0436}">
      <text>
        <r>
          <rPr>
            <b/>
            <sz val="9"/>
            <color indexed="81"/>
            <rFont val="Segoe UI"/>
            <family val="2"/>
          </rPr>
          <t>6,56% CT 2019 DF</t>
        </r>
      </text>
    </comment>
    <comment ref="C99" authorId="0" shapeId="0" xr:uid="{B4A4377C-8D6F-4DC2-9E5D-30E2D9A220F4}">
      <text>
        <r>
          <rPr>
            <b/>
            <sz val="9"/>
            <color indexed="81"/>
            <rFont val="Segoe UI"/>
            <family val="2"/>
          </rPr>
          <t>CT 2019 DF</t>
        </r>
      </text>
    </comment>
    <comment ref="C109" authorId="0" shapeId="0" xr:uid="{D20797F0-8FD7-4909-A823-9C6D0B82188F}">
      <text>
        <r>
          <rPr>
            <b/>
            <sz val="9"/>
            <color indexed="81"/>
            <rFont val="Segoe UI"/>
            <family val="2"/>
          </rPr>
          <t>DIAS AO ANO (21,3562)*CUSTO DIÁRIO/12</t>
        </r>
      </text>
    </comment>
    <comment ref="B112" authorId="0" shapeId="0" xr:uid="{46E9DCFA-8A9C-4082-BCE9-EBD3C72F7A65}">
      <text>
        <r>
          <rPr>
            <b/>
            <sz val="9"/>
            <color indexed="81"/>
            <rFont val="Segoe UI"/>
            <family val="2"/>
          </rPr>
          <t>encargos, como férias, adicional de férias, 13º salário, encargos previdenciários, FGTS, bem como benefícios como a assistência médica</t>
        </r>
      </text>
    </comment>
    <comment ref="C120" authorId="0" shapeId="0" xr:uid="{4D371A4F-9A93-4190-8038-EBC789D0A695}">
      <text>
        <r>
          <rPr>
            <b/>
            <sz val="9"/>
            <color indexed="81"/>
            <rFont val="Segoe UI"/>
            <family val="2"/>
          </rPr>
          <t>MOD1+2+3/220(H)X15(DIAS)</t>
        </r>
      </text>
    </comment>
    <comment ref="C128" authorId="0" shapeId="0" xr:uid="{97AFE39A-535C-4142-8A04-9C16694E90C5}">
      <text>
        <r>
          <rPr>
            <b/>
            <sz val="9"/>
            <color indexed="81"/>
            <rFont val="Segoe UI"/>
            <family val="2"/>
          </rPr>
          <t>VALOR DA HORA X 15</t>
        </r>
      </text>
    </comment>
    <comment ref="C139" authorId="1" shapeId="0" xr:uid="{CB3553A1-9E3C-42E7-93B8-57E92B6D02AF}">
      <text>
        <r>
          <rPr>
            <b/>
            <sz val="9"/>
            <color indexed="81"/>
            <rFont val="Segoe UI"/>
            <family val="2"/>
          </rPr>
          <t xml:space="preserve">Ou (MOD1+MOD2+MOD3+MOD4)*3,05% CT 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ELIEZER GENTIL DE SOUZA</author>
    <author>Eliezer Gentil de Souza</author>
  </authors>
  <commentList>
    <comment ref="C37" authorId="0" shapeId="0" xr:uid="{00000000-0006-0000-0000-000001000000}">
      <text>
        <r>
          <rPr>
            <b/>
            <sz val="9"/>
            <color indexed="81"/>
            <rFont val="Segoe UI"/>
            <family val="2"/>
          </rPr>
          <t>REM X 58,33% (MPOG) X 20%</t>
        </r>
      </text>
    </comment>
    <comment ref="C38" authorId="0" shapeId="0" xr:uid="{00000000-0006-0000-0000-000002000000}">
      <text>
        <r>
          <rPr>
            <b/>
            <sz val="9"/>
            <color indexed="81"/>
            <rFont val="Segoe UI"/>
            <family val="2"/>
          </rPr>
          <t>REM * 8,33%*1,2 (20% A MAIS)</t>
        </r>
      </text>
    </comment>
    <comment ref="C91" authorId="0" shapeId="0" xr:uid="{00000000-0006-0000-0000-000003000000}">
      <text>
        <r>
          <rPr>
            <b/>
            <sz val="9"/>
            <color indexed="81"/>
            <rFont val="Segoe UI"/>
            <family val="2"/>
          </rPr>
          <t>Base de cálculo: Módulo 1 + Módulo 2 (sem a incidência dos encargos previdenciários
correspondentes ao GPS).</t>
        </r>
      </text>
    </comment>
    <comment ref="C94" authorId="0" shapeId="0" xr:uid="{00000000-0006-0000-0000-000004000000}">
      <text>
        <r>
          <rPr>
            <b/>
            <sz val="9"/>
            <color indexed="81"/>
            <rFont val="Segoe UI"/>
            <family val="2"/>
          </rPr>
          <t>59,06% CT 2019 DF</t>
        </r>
      </text>
    </comment>
    <comment ref="C98" authorId="0" shapeId="0" xr:uid="{00000000-0006-0000-0000-000005000000}">
      <text>
        <r>
          <rPr>
            <b/>
            <sz val="9"/>
            <color indexed="81"/>
            <rFont val="Segoe UI"/>
            <family val="2"/>
          </rPr>
          <t>6,56% CT 2019 DF</t>
        </r>
      </text>
    </comment>
    <comment ref="C99" authorId="0" shapeId="0" xr:uid="{00000000-0006-0000-0000-000006000000}">
      <text>
        <r>
          <rPr>
            <b/>
            <sz val="9"/>
            <color indexed="81"/>
            <rFont val="Segoe UI"/>
            <family val="2"/>
          </rPr>
          <t>CT 2019 DF</t>
        </r>
      </text>
    </comment>
    <comment ref="C109" authorId="0" shapeId="0" xr:uid="{00000000-0006-0000-0000-000007000000}">
      <text>
        <r>
          <rPr>
            <b/>
            <sz val="9"/>
            <color indexed="81"/>
            <rFont val="Segoe UI"/>
            <family val="2"/>
          </rPr>
          <t>DIAS AO ANO (21,3562)*CUSTO DIÁRIO/12</t>
        </r>
      </text>
    </comment>
    <comment ref="B112" authorId="0" shapeId="0" xr:uid="{00000000-0006-0000-0000-000008000000}">
      <text>
        <r>
          <rPr>
            <b/>
            <sz val="9"/>
            <color indexed="81"/>
            <rFont val="Segoe UI"/>
            <family val="2"/>
          </rPr>
          <t>encargos, como férias, adicional de férias, 13º salário, encargos previdenciários, FGTS, bem como benefícios como a assistência médica</t>
        </r>
      </text>
    </comment>
    <comment ref="C120" authorId="0" shapeId="0" xr:uid="{00000000-0006-0000-0000-000009000000}">
      <text>
        <r>
          <rPr>
            <b/>
            <sz val="9"/>
            <color indexed="81"/>
            <rFont val="Segoe UI"/>
            <family val="2"/>
          </rPr>
          <t>MOD1+2+3/220(H)X15(DIAS)</t>
        </r>
      </text>
    </comment>
    <comment ref="C128" authorId="0" shapeId="0" xr:uid="{00000000-0006-0000-0000-00000A000000}">
      <text>
        <r>
          <rPr>
            <b/>
            <sz val="9"/>
            <color indexed="81"/>
            <rFont val="Segoe UI"/>
            <family val="2"/>
          </rPr>
          <t>VALOR DA HORA X 15</t>
        </r>
      </text>
    </comment>
    <comment ref="C139" authorId="1" shapeId="0" xr:uid="{088B6E64-2971-458E-9995-369C4FE72677}">
      <text>
        <r>
          <rPr>
            <b/>
            <sz val="9"/>
            <color indexed="81"/>
            <rFont val="Segoe UI"/>
            <family val="2"/>
          </rPr>
          <t xml:space="preserve">Ou (MOD1+MOD2+MOD3+MOD4)*3,05% CT 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ELIEZER GENTIL DE SOUZA</author>
    <author>Eliezer Gentil de Souza</author>
  </authors>
  <commentList>
    <comment ref="C91" authorId="0" shapeId="0" xr:uid="{5663F240-8D54-43EC-889E-CB8AD34ED34B}">
      <text>
        <r>
          <rPr>
            <b/>
            <sz val="9"/>
            <color indexed="81"/>
            <rFont val="Segoe UI"/>
            <family val="2"/>
          </rPr>
          <t>Base de cálculo: Módulo 1 + Módulo 2 (sem a incidência dos encargos previdenciários
correspondentes ao GPS).</t>
        </r>
      </text>
    </comment>
    <comment ref="C94" authorId="0" shapeId="0" xr:uid="{F31BC949-15B1-400C-9B2A-5BA9D2705F1B}">
      <text>
        <r>
          <rPr>
            <b/>
            <sz val="9"/>
            <color indexed="81"/>
            <rFont val="Segoe UI"/>
            <family val="2"/>
          </rPr>
          <t>59,06% CT 2019 DF</t>
        </r>
      </text>
    </comment>
    <comment ref="C98" authorId="0" shapeId="0" xr:uid="{D290B8D8-7A21-4974-B760-5406229870B4}">
      <text>
        <r>
          <rPr>
            <b/>
            <sz val="9"/>
            <color indexed="81"/>
            <rFont val="Segoe UI"/>
            <family val="2"/>
          </rPr>
          <t>6,56% CT 2019 DF</t>
        </r>
      </text>
    </comment>
    <comment ref="C99" authorId="0" shapeId="0" xr:uid="{51BF5A01-F345-4384-95ED-9CFC8975A8A8}">
      <text>
        <r>
          <rPr>
            <b/>
            <sz val="9"/>
            <color indexed="81"/>
            <rFont val="Segoe UI"/>
            <family val="2"/>
          </rPr>
          <t>CT 2019 DF</t>
        </r>
      </text>
    </comment>
    <comment ref="C120" authorId="0" shapeId="0" xr:uid="{ED8EED59-B269-4DF9-8A5A-5C21F17D1C26}">
      <text>
        <r>
          <rPr>
            <b/>
            <sz val="9"/>
            <color indexed="81"/>
            <rFont val="Segoe UI"/>
            <family val="2"/>
          </rPr>
          <t>MOD1+2+3/220(H)X15(DIAS)</t>
        </r>
      </text>
    </comment>
    <comment ref="C128" authorId="0" shapeId="0" xr:uid="{615D182E-E66D-40AD-92E9-AF92795A586C}">
      <text>
        <r>
          <rPr>
            <b/>
            <sz val="9"/>
            <color indexed="81"/>
            <rFont val="Segoe UI"/>
            <family val="2"/>
          </rPr>
          <t>VALOR DA HORA X 15</t>
        </r>
      </text>
    </comment>
    <comment ref="C139" authorId="1" shapeId="0" xr:uid="{2392099D-9F51-4A04-9095-7C0758DEFCBF}">
      <text>
        <r>
          <rPr>
            <b/>
            <sz val="9"/>
            <color indexed="81"/>
            <rFont val="Segoe UI"/>
            <family val="2"/>
          </rPr>
          <t>Ou (MOD1+MOD2+MOD3+MOD4)*3,05%</t>
        </r>
      </text>
    </comment>
    <comment ref="D152" authorId="0" shapeId="0" xr:uid="{4AF58C70-ECB8-4DD0-ACD4-BA9543232E35}">
      <text>
        <r>
          <rPr>
            <b/>
            <sz val="9"/>
            <color indexed="81"/>
            <rFont val="Segoe UI"/>
            <family val="2"/>
          </rPr>
          <t>MODULOS DE 01 A 05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ELIEZER GENTIL DE SOUZA</author>
    <author>Eliezer Gentil de Souza</author>
  </authors>
  <commentList>
    <comment ref="C91" authorId="0" shapeId="0" xr:uid="{771EF577-1C04-4D9A-A0C1-A9AA5A01CA52}">
      <text>
        <r>
          <rPr>
            <b/>
            <sz val="9"/>
            <color indexed="81"/>
            <rFont val="Segoe UI"/>
            <family val="2"/>
          </rPr>
          <t>Base de cálculo: Módulo 1 + Módulo 2 (sem a incidência dos encargos previdenciários
correspondentes ao GPS).</t>
        </r>
      </text>
    </comment>
    <comment ref="C94" authorId="0" shapeId="0" xr:uid="{BE3212D1-CD27-4618-8925-BB1B16FCF089}">
      <text>
        <r>
          <rPr>
            <b/>
            <sz val="9"/>
            <color indexed="81"/>
            <rFont val="Segoe UI"/>
            <family val="2"/>
          </rPr>
          <t>59,06% CT 2019 DF</t>
        </r>
      </text>
    </comment>
    <comment ref="C98" authorId="0" shapeId="0" xr:uid="{AFD0BDBB-3C38-4588-8E5B-32B0490F1421}">
      <text>
        <r>
          <rPr>
            <b/>
            <sz val="9"/>
            <color indexed="81"/>
            <rFont val="Segoe UI"/>
            <family val="2"/>
          </rPr>
          <t>6,56% CT 2019 DF</t>
        </r>
      </text>
    </comment>
    <comment ref="C99" authorId="0" shapeId="0" xr:uid="{7C59A1E0-C7CC-43F4-A9AA-0B64EDDFCFCD}">
      <text>
        <r>
          <rPr>
            <b/>
            <sz val="9"/>
            <color indexed="81"/>
            <rFont val="Segoe UI"/>
            <family val="2"/>
          </rPr>
          <t>CT 2019 DF</t>
        </r>
      </text>
    </comment>
    <comment ref="C120" authorId="0" shapeId="0" xr:uid="{76C28488-79D3-4EEC-B6A4-CBA3FB4B505D}">
      <text>
        <r>
          <rPr>
            <b/>
            <sz val="9"/>
            <color indexed="81"/>
            <rFont val="Segoe UI"/>
            <family val="2"/>
          </rPr>
          <t>MOD1+2+3/220(H)X15(DIAS)</t>
        </r>
      </text>
    </comment>
    <comment ref="C128" authorId="0" shapeId="0" xr:uid="{9C1372AF-6999-4388-85FE-22F7C882AA64}">
      <text>
        <r>
          <rPr>
            <b/>
            <sz val="9"/>
            <color indexed="81"/>
            <rFont val="Segoe UI"/>
            <family val="2"/>
          </rPr>
          <t>VALOR DA HORA X 15</t>
        </r>
      </text>
    </comment>
    <comment ref="C139" authorId="1" shapeId="0" xr:uid="{D66DC91A-161E-4242-8F57-62B346098C8D}">
      <text>
        <r>
          <rPr>
            <b/>
            <sz val="9"/>
            <color indexed="81"/>
            <rFont val="Segoe UI"/>
            <family val="2"/>
          </rPr>
          <t>Ou (MOD1+MOD2+MOD3+MOD4)*3,05%</t>
        </r>
      </text>
    </comment>
    <comment ref="D152" authorId="0" shapeId="0" xr:uid="{C6C197CB-F138-43C5-AB66-2454C765FF44}">
      <text>
        <r>
          <rPr>
            <b/>
            <sz val="9"/>
            <color indexed="81"/>
            <rFont val="Segoe UI"/>
            <family val="2"/>
          </rPr>
          <t>MODULOS DE 01 A 05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ELIEZER GENTIL DE SOUZA</author>
    <author>Eliezer Gentil de Souza</author>
  </authors>
  <commentList>
    <comment ref="C91" authorId="0" shapeId="0" xr:uid="{31471965-D5B2-4AED-97D6-54814848B193}">
      <text>
        <r>
          <rPr>
            <b/>
            <sz val="9"/>
            <color indexed="81"/>
            <rFont val="Segoe UI"/>
            <family val="2"/>
          </rPr>
          <t>Base de cálculo: Módulo 1 + Módulo 2 (sem a incidência dos encargos previdenciários
correspondentes ao GPS).</t>
        </r>
      </text>
    </comment>
    <comment ref="C94" authorId="0" shapeId="0" xr:uid="{2CF4B5AA-9A26-4414-A132-0B771B1568C7}">
      <text>
        <r>
          <rPr>
            <b/>
            <sz val="9"/>
            <color indexed="81"/>
            <rFont val="Segoe UI"/>
            <family val="2"/>
          </rPr>
          <t>59,06% CT 2019 DF</t>
        </r>
      </text>
    </comment>
    <comment ref="C98" authorId="0" shapeId="0" xr:uid="{5400F109-C179-47E9-AE0C-71B55BFD1978}">
      <text>
        <r>
          <rPr>
            <b/>
            <sz val="9"/>
            <color indexed="81"/>
            <rFont val="Segoe UI"/>
            <family val="2"/>
          </rPr>
          <t>6,56% CT 2019 DF</t>
        </r>
      </text>
    </comment>
    <comment ref="C99" authorId="0" shapeId="0" xr:uid="{737F9607-60C1-4875-B231-D7F7D7C4BCB8}">
      <text>
        <r>
          <rPr>
            <b/>
            <sz val="9"/>
            <color indexed="81"/>
            <rFont val="Segoe UI"/>
            <family val="2"/>
          </rPr>
          <t>CT 2019 DF</t>
        </r>
      </text>
    </comment>
    <comment ref="C120" authorId="0" shapeId="0" xr:uid="{4A2B2DF4-DE62-4493-9956-57865E1EE9BE}">
      <text>
        <r>
          <rPr>
            <b/>
            <sz val="9"/>
            <color indexed="81"/>
            <rFont val="Segoe UI"/>
            <family val="2"/>
          </rPr>
          <t>MOD1+2+3/220(H)X15(DIAS)</t>
        </r>
      </text>
    </comment>
    <comment ref="C128" authorId="0" shapeId="0" xr:uid="{15C29028-0B52-4C83-B0C1-00990AAE34AF}">
      <text>
        <r>
          <rPr>
            <b/>
            <sz val="9"/>
            <color indexed="81"/>
            <rFont val="Segoe UI"/>
            <family val="2"/>
          </rPr>
          <t>VALOR DA HORA X 15</t>
        </r>
      </text>
    </comment>
    <comment ref="C139" authorId="1" shapeId="0" xr:uid="{97245291-5DBC-4957-BF29-AC490EB8E62D}">
      <text>
        <r>
          <rPr>
            <b/>
            <sz val="9"/>
            <color indexed="81"/>
            <rFont val="Segoe UI"/>
            <family val="2"/>
          </rPr>
          <t>Ou (MOD1+MOD2+MOD3+MOD4)*3,05%</t>
        </r>
      </text>
    </comment>
    <comment ref="D152" authorId="0" shapeId="0" xr:uid="{EB92DD07-F2DC-41F7-B1EA-6674F43AA348}">
      <text>
        <r>
          <rPr>
            <b/>
            <sz val="9"/>
            <color indexed="81"/>
            <rFont val="Segoe UI"/>
            <family val="2"/>
          </rPr>
          <t>MODULOS DE 01 A 05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ELIEZER GENTIL DE SOUZA</author>
    <author>Eliezer Gentil de Souza</author>
  </authors>
  <commentList>
    <comment ref="C91" authorId="0" shapeId="0" xr:uid="{DB45EB4D-F0F8-4D40-A7D9-904FB6E473F8}">
      <text>
        <r>
          <rPr>
            <b/>
            <sz val="9"/>
            <color indexed="81"/>
            <rFont val="Segoe UI"/>
            <family val="2"/>
          </rPr>
          <t>Base de cálculo: Módulo 1 + Módulo 2 (sem a incidência dos encargos previdenciários
correspondentes ao GPS).</t>
        </r>
      </text>
    </comment>
    <comment ref="C94" authorId="0" shapeId="0" xr:uid="{4C4637D6-E7B9-46D4-A168-4F6BE8007CBE}">
      <text>
        <r>
          <rPr>
            <b/>
            <sz val="9"/>
            <color indexed="81"/>
            <rFont val="Segoe UI"/>
            <family val="2"/>
          </rPr>
          <t>59,06% CT 2019 DF</t>
        </r>
      </text>
    </comment>
    <comment ref="C98" authorId="0" shapeId="0" xr:uid="{14F3B8B0-E4C7-4942-97CB-45A1E39B15EA}">
      <text>
        <r>
          <rPr>
            <b/>
            <sz val="9"/>
            <color indexed="81"/>
            <rFont val="Segoe UI"/>
            <family val="2"/>
          </rPr>
          <t>6,56% CT 2019 DF</t>
        </r>
      </text>
    </comment>
    <comment ref="C99" authorId="0" shapeId="0" xr:uid="{03F37711-0170-41E5-B14A-AD0D3488C15D}">
      <text>
        <r>
          <rPr>
            <b/>
            <sz val="9"/>
            <color indexed="81"/>
            <rFont val="Segoe UI"/>
            <family val="2"/>
          </rPr>
          <t>CT 2019 DF</t>
        </r>
      </text>
    </comment>
    <comment ref="C120" authorId="0" shapeId="0" xr:uid="{CDA1DAB9-E7D1-47ED-899B-02C386DD8B26}">
      <text>
        <r>
          <rPr>
            <b/>
            <sz val="9"/>
            <color indexed="81"/>
            <rFont val="Segoe UI"/>
            <family val="2"/>
          </rPr>
          <t>MOD1+2+3/220(H)X15(DIAS)</t>
        </r>
      </text>
    </comment>
    <comment ref="C128" authorId="0" shapeId="0" xr:uid="{C1BD3A6D-B6BF-43BA-8E33-B816E73D8C39}">
      <text>
        <r>
          <rPr>
            <b/>
            <sz val="9"/>
            <color indexed="81"/>
            <rFont val="Segoe UI"/>
            <family val="2"/>
          </rPr>
          <t>VALOR DA HORA X 15</t>
        </r>
      </text>
    </comment>
    <comment ref="C139" authorId="1" shapeId="0" xr:uid="{C8FC8EED-3F45-4712-90F1-86A3ADDE4CD7}">
      <text>
        <r>
          <rPr>
            <b/>
            <sz val="9"/>
            <color indexed="81"/>
            <rFont val="Segoe UI"/>
            <family val="2"/>
          </rPr>
          <t>Ou (MOD1+MOD2+MOD3+MOD4)*3,05%</t>
        </r>
      </text>
    </comment>
    <comment ref="D152" authorId="0" shapeId="0" xr:uid="{0CD5E188-0EFA-47A3-A36F-B0455CB7156A}">
      <text>
        <r>
          <rPr>
            <b/>
            <sz val="9"/>
            <color indexed="81"/>
            <rFont val="Segoe UI"/>
            <family val="2"/>
          </rPr>
          <t>MODULOS DE 01 A 05</t>
        </r>
      </text>
    </comment>
  </commentList>
</comments>
</file>

<file path=xl/sharedStrings.xml><?xml version="1.0" encoding="utf-8"?>
<sst xmlns="http://schemas.openxmlformats.org/spreadsheetml/2006/main" count="2151" uniqueCount="205">
  <si>
    <t>Adicional Noturno</t>
  </si>
  <si>
    <t>Total</t>
  </si>
  <si>
    <t>Férias</t>
  </si>
  <si>
    <t>SEBRAE</t>
  </si>
  <si>
    <t>INCRA</t>
  </si>
  <si>
    <t>FGTS</t>
  </si>
  <si>
    <t>Insumos Diversos</t>
  </si>
  <si>
    <t>Custos Indiretos, Tributos e Lucro</t>
  </si>
  <si>
    <t>Custos Indiretos</t>
  </si>
  <si>
    <t>Tributos</t>
  </si>
  <si>
    <t>Lucro</t>
  </si>
  <si>
    <t>Módulo 1 - Composição da Remuneração</t>
  </si>
  <si>
    <t>Composição da Remuneração</t>
  </si>
  <si>
    <t>Valor (R$)</t>
  </si>
  <si>
    <t>A</t>
  </si>
  <si>
    <t>B</t>
  </si>
  <si>
    <t>C</t>
  </si>
  <si>
    <t>D</t>
  </si>
  <si>
    <t>E</t>
  </si>
  <si>
    <t>Adicional de Hora Noturna Reduzida</t>
  </si>
  <si>
    <t>F</t>
  </si>
  <si>
    <t>G</t>
  </si>
  <si>
    <t>Outros (especificar)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</si>
  <si>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</si>
  <si>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</si>
  <si>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</si>
  <si>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</si>
  <si>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13º (décimo terceiro) Salário</t>
  </si>
  <si>
    <t>Submódulo 2.2 - Encargos Previdenciários (GPS), Fundo de Garantia por Tempo de Serviço (FGTS) e outras contribuições.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</si>
  <si>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</si>
  <si>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</si>
  <si>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</si>
  <si>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</si>
  <si>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</si>
  <si>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</si>
  <si>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</si>
  <si>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- SENAC</t>
  </si>
  <si>
    <t>H</t>
  </si>
  <si>
    <t xml:space="preserve">Total </t>
  </si>
  <si>
    <t>Submódulo 2.3 - Benefícios Mensais e Diários.</t>
  </si>
  <si>
    <t>2.3</t>
  </si>
  <si>
    <t>Benefícios Mensais e Diários</t>
  </si>
  <si>
    <t>Quadro-Resumo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</si>
  <si>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</si>
  <si>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</si>
  <si>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</si>
  <si>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Incidência do FGTS sobre o Aviso Prévio Indenizado</t>
  </si>
  <si>
    <t>Multa do FGTS e contribuição social sobre o Aviso Prévio Indenizado</t>
  </si>
  <si>
    <t>Incidência dos encargos do submódulo 2.2 sobre o Aviso Prévio Trabalhado</t>
  </si>
  <si>
    <t>Multa do FGTS e contribuição social sobre o Aviso Prévio Trabalhado</t>
  </si>
  <si>
    <t>Módulo 4 - Custo de Reposição do Profissional Ausente</t>
  </si>
  <si>
    <t>Submódulo 4.1 - Ausências Legais</t>
  </si>
  <si>
    <t>4.1</t>
  </si>
  <si>
    <t>Ausências Legais</t>
  </si>
  <si>
    <t>Licença-Paternidade</t>
  </si>
  <si>
    <t>Ausência por acidente de trabalho</t>
  </si>
  <si>
    <t>Afastamento Maternidade</t>
  </si>
  <si>
    <t>Submódulo 4.2 - Intrajornada</t>
  </si>
  <si>
    <t>4.2</t>
  </si>
  <si>
    <t>Intrajornada</t>
  </si>
  <si>
    <t>Quadro-Resumo do Módulo 4 - Custo de Reposição do Profissional Ausente</t>
  </si>
  <si>
    <t>Custo de Reposição do Profissional Ausente</t>
  </si>
  <si>
    <t>Módulo 5 - Insumos Diversos</t>
  </si>
  <si>
    <t>Uniformes</t>
  </si>
  <si>
    <t>Materiais</t>
  </si>
  <si>
    <t>Módulo 6 - Custos Indiretos, Tributos e Lucro</t>
  </si>
  <si>
    <t>C.2. Tributos Estaduais (especificar)</t>
  </si>
  <si>
    <t>2. QUADRO-RESUMO DO CUSTO POR EMPREGADO</t>
  </si>
  <si>
    <t>Mão de obra vinculada à execução contratual (valor por empregado)</t>
  </si>
  <si>
    <t>Subtotal (A + B +C+ D+E)</t>
  </si>
  <si>
    <t>Módulo 6 – Custos Indiretos, Tributos e Lucro</t>
  </si>
  <si>
    <t xml:space="preserve">Valor Total por Empregado </t>
  </si>
  <si>
    <t>C.1. Tributos Federais (PIS)</t>
  </si>
  <si>
    <t>C.2. Tributos Federais (COFINS)</t>
  </si>
  <si>
    <t xml:space="preserve">Férias </t>
  </si>
  <si>
    <t>Adicional de Férias</t>
  </si>
  <si>
    <t>TOTAL GPS</t>
  </si>
  <si>
    <t>Outros</t>
  </si>
  <si>
    <t>3.1. CUSTO DO AVISO PRÉVIO INDENIZADO</t>
  </si>
  <si>
    <t>3.2. CUSTO DO AVISO PRÉVIO TRABALHADO</t>
  </si>
  <si>
    <t>3.3</t>
  </si>
  <si>
    <t>TOTAL Provisão para Rescisão</t>
  </si>
  <si>
    <t>ITEM</t>
  </si>
  <si>
    <t>UNIFORMES ANUAL POR EMPREGADO</t>
  </si>
  <si>
    <t>QTD. ANUAL</t>
  </si>
  <si>
    <t>VALOR UNITÁRIO</t>
  </si>
  <si>
    <t>TOTAL</t>
  </si>
  <si>
    <t>Cinto de Nylon</t>
  </si>
  <si>
    <t>Sapatos ou coturnos</t>
  </si>
  <si>
    <t>Meias</t>
  </si>
  <si>
    <t>Quepe ou boné com logotipo da empresa</t>
  </si>
  <si>
    <t>Jaqueta de frio ou japona</t>
  </si>
  <si>
    <t>Cinto com coldre e baleiro</t>
  </si>
  <si>
    <t>VALOR ANUAL</t>
  </si>
  <si>
    <t>CUSTO MENSAL POR EMPREGADO</t>
  </si>
  <si>
    <t>MATERIAIS</t>
  </si>
  <si>
    <t>Capa de chuva COM CAPUZ</t>
  </si>
  <si>
    <t>Crachá</t>
  </si>
  <si>
    <t>Munição calibre 38</t>
  </si>
  <si>
    <t>Cassetete</t>
  </si>
  <si>
    <t>Porta cassetete</t>
  </si>
  <si>
    <t>Apito com cordão</t>
  </si>
  <si>
    <t>Lanterna elétrica</t>
  </si>
  <si>
    <t>Livro de ocorrência (manual ou informatizado)</t>
  </si>
  <si>
    <t>EQUIPAMENTO DEPRECIAÇÃO 10% a.a.</t>
  </si>
  <si>
    <t>Revolver calibre 38 (seis tiros) ou armamento superior de uso permitido</t>
  </si>
  <si>
    <t>DEPRECIAÇÃO 10% a.a.</t>
  </si>
  <si>
    <t>Redação dada pela Instrução Normativa nº 7, de 2018</t>
  </si>
  <si>
    <t>Discriminação dos Serviços (dados referentes à contratação)</t>
  </si>
  <si>
    <t>Data da apresentação da proposta (dia/mês/ano)</t>
  </si>
  <si>
    <t>___/____/2022</t>
  </si>
  <si>
    <t>Município / UF</t>
  </si>
  <si>
    <t>Ano Acordo, Convenção ou Sentença Normativa em Dissídio Coletivo</t>
  </si>
  <si>
    <t>Nº de meses de execução contratual</t>
  </si>
  <si>
    <t>Tipo de Serviço</t>
  </si>
  <si>
    <t>POSTO DE VIGILÂNCIA ARMADA NOTURNO 12X36 HORAS</t>
  </si>
  <si>
    <t>Unidade de medida</t>
  </si>
  <si>
    <t>POSTO</t>
  </si>
  <si>
    <t>Quantidade total a contratar (em função da unidade de medida)</t>
  </si>
  <si>
    <t>Cargo</t>
  </si>
  <si>
    <t>VIGILANTE</t>
  </si>
  <si>
    <t>Dados complementares para composição dos custos referente à mão-de-obra</t>
  </si>
  <si>
    <t>Tipo do serviço</t>
  </si>
  <si>
    <t>VIGILÂNCIA</t>
  </si>
  <si>
    <t>Classificação Brasileira de Ocupações (CBO)</t>
  </si>
  <si>
    <t>5173-30</t>
  </si>
  <si>
    <t xml:space="preserve">Categoria profissional </t>
  </si>
  <si>
    <t>Data base da categoria</t>
  </si>
  <si>
    <t>Identificação dos Serviços</t>
  </si>
  <si>
    <r>
      <t xml:space="preserve">Adicional de Hora Noturna Reduzida </t>
    </r>
    <r>
      <rPr>
        <b/>
        <sz val="10"/>
        <color rgb="FFFF0000"/>
        <rFont val="Calibri"/>
        <family val="2"/>
        <scheme val="minor"/>
      </rPr>
      <t>(Caderno Técnico SLTI)</t>
    </r>
  </si>
  <si>
    <r>
      <t xml:space="preserve">Ausências Legais </t>
    </r>
    <r>
      <rPr>
        <b/>
        <sz val="10"/>
        <color rgb="FFFF0000"/>
        <rFont val="Calibri"/>
        <family val="2"/>
        <scheme val="minor"/>
      </rPr>
      <t>(Caderno Técnico SLTI)</t>
    </r>
  </si>
  <si>
    <t>CONTA-DEPÓSITO VINCULADA</t>
  </si>
  <si>
    <t>CONTA=DPÓSITO VINCULADA</t>
  </si>
  <si>
    <r>
      <rPr>
        <b/>
        <sz val="10"/>
        <color rgb="FFFF0000"/>
        <rFont val="Calibri"/>
        <family val="2"/>
        <scheme val="minor"/>
      </rPr>
      <t>IN 05/2017-MPOG.</t>
    </r>
    <r>
      <rPr>
        <sz val="10"/>
        <color rgb="FFFF0000"/>
        <rFont val="Calibri"/>
        <family val="2"/>
        <scheme val="minor"/>
      </rPr>
      <t xml:space="preserve"> O montante dos depósitos da Conta-Depósito Vinculada - bloqueada para movimentação será igual ao somatório dos valores das seguintes provisões: 
a) 13o (décimo terceiro) salário; 
b) férias e 1/3 (um terço) constitucional de férias; 
c) multa sobre o FGTS e contribuição social para as rescisões sem justa causa; e 
d) encargos sobre férias e 13o (décimo terceiro) salário.</t>
    </r>
  </si>
  <si>
    <t>COLETE À PROVA DE BALAS (NÍVEL A-II)</t>
  </si>
  <si>
    <t>CAPA COLETE BALÍSTICO NÍVEL II-A c/ PLACA BALÍSTICA</t>
  </si>
  <si>
    <t>EQUIPAMENTO DEPRECIAÇÃO 20% a.a.</t>
  </si>
  <si>
    <t>EQUIPAMENTO DEPRECIAÇÃO 50% a.a.</t>
  </si>
  <si>
    <t>PILHA ALCALINA AA</t>
  </si>
  <si>
    <t>DEPRECIAÇÃO 20% a.a.</t>
  </si>
  <si>
    <t>DEPRECIAÇÃO 50% a.a.</t>
  </si>
  <si>
    <t>TOTAL MENSAL DOS EQUIPAMENTOS POR EMPREGADO</t>
  </si>
  <si>
    <t>Equipamentos</t>
  </si>
  <si>
    <t xml:space="preserve">Equipamentos </t>
  </si>
  <si>
    <t xml:space="preserve">RÁDIO COMUNICADOR COM BATERIAS RECARREGÁVEIS E ALCANCE MÍNIMO DE 6KM. </t>
  </si>
  <si>
    <t>PREÇO MÉDIO DE 1 PAR (R$ 588,55) / 2 = 294,27</t>
  </si>
  <si>
    <t>Não incide posto diurno</t>
  </si>
  <si>
    <t>Calça cargo em brim pesado na cor preta, com zíper de qualidade e botão caseado</t>
  </si>
  <si>
    <t>Camisa, de cor lisa e bolso, de mangas compridas e curtas, composição mista de, no mínimo, 60% algodão</t>
  </si>
  <si>
    <r>
      <t>Aviso Prévio Indenizado -</t>
    </r>
    <r>
      <rPr>
        <b/>
        <sz val="10"/>
        <color rgb="FFFF0000"/>
        <rFont val="Calibri"/>
        <family val="2"/>
        <scheme val="minor"/>
      </rPr>
      <t xml:space="preserve"> API</t>
    </r>
  </si>
  <si>
    <r>
      <t xml:space="preserve">Aviso Prévio Trabalhado </t>
    </r>
    <r>
      <rPr>
        <b/>
        <sz val="10"/>
        <rFont val="Calibri"/>
        <family val="2"/>
        <scheme val="minor"/>
      </rPr>
      <t>APT</t>
    </r>
    <r>
      <rPr>
        <sz val="10"/>
        <rFont val="Calibri"/>
        <family val="2"/>
        <scheme val="minor"/>
      </rPr>
      <t xml:space="preserve"> - </t>
    </r>
    <r>
      <rPr>
        <b/>
        <sz val="10"/>
        <color rgb="FFFF0000"/>
        <rFont val="Calibri"/>
        <family val="2"/>
        <scheme val="minor"/>
      </rPr>
      <t>NO SEGUNDO ANO o saldo percentual será de 0,194% (1,94/30x3) apenas referente aos 3 dias que serão acrescentados</t>
    </r>
  </si>
  <si>
    <r>
      <t xml:space="preserve">Aviso Prévio Indenizado - </t>
    </r>
    <r>
      <rPr>
        <b/>
        <sz val="10"/>
        <color rgb="FFFF0000"/>
        <rFont val="Calibri"/>
        <family val="2"/>
        <scheme val="minor"/>
      </rPr>
      <t>API</t>
    </r>
  </si>
  <si>
    <r>
      <t xml:space="preserve">Aviso Prévio Trabalhado </t>
    </r>
    <r>
      <rPr>
        <b/>
        <sz val="10"/>
        <rFont val="Calibri"/>
        <family val="2"/>
        <scheme val="minor"/>
      </rPr>
      <t xml:space="preserve">APT </t>
    </r>
    <r>
      <rPr>
        <sz val="10"/>
        <rFont val="Calibri"/>
        <family val="2"/>
        <scheme val="minor"/>
      </rPr>
      <t xml:space="preserve">- </t>
    </r>
    <r>
      <rPr>
        <b/>
        <sz val="10"/>
        <color rgb="FFFF0000"/>
        <rFont val="Calibri"/>
        <family val="2"/>
        <scheme val="minor"/>
      </rPr>
      <t>NO SEGUNDO ANO o saldo percentual será de 0,194% (1,94/30x3) apenas referente aos 3 dias que serão acrescentados</t>
    </r>
  </si>
  <si>
    <t>CUIABÁ MT</t>
  </si>
  <si>
    <t>LICITAÇÃO Nº: 03/2022</t>
  </si>
  <si>
    <r>
      <t xml:space="preserve">Salário Normativo da Categoria Profissional </t>
    </r>
    <r>
      <rPr>
        <b/>
        <sz val="10"/>
        <color rgb="FFFF0000"/>
        <rFont val="Calibri"/>
        <family val="2"/>
        <scheme val="minor"/>
      </rPr>
      <t>(CLÁUSULA 3 CCT2022 SINDESP)</t>
    </r>
  </si>
  <si>
    <t>SINDESP-MT 2022</t>
  </si>
  <si>
    <t>SESSÃO PÚBLICA: ____/____/2022  às    horas (Horário de Brasília/DF)</t>
  </si>
  <si>
    <t>POSTO DE VIGILÂNCIA ARMADA DIURNO 12X36 HORAS</t>
  </si>
  <si>
    <r>
      <t xml:space="preserve">Salário-Base  </t>
    </r>
    <r>
      <rPr>
        <b/>
        <sz val="10"/>
        <color rgb="FFFF0000"/>
        <rFont val="Calibri"/>
        <family val="2"/>
        <scheme val="minor"/>
      </rPr>
      <t>(CLÁUSULA 3 CCT2022 SINDESP)</t>
    </r>
  </si>
  <si>
    <r>
      <t>Adicional de Periculosidade</t>
    </r>
    <r>
      <rPr>
        <b/>
        <sz val="10"/>
        <color rgb="FFFF0000"/>
        <rFont val="Calibri"/>
        <family val="2"/>
        <scheme val="minor"/>
      </rPr>
      <t xml:space="preserve"> 30% (CLÁUSULA 10 CCT2022 SINDESP)</t>
    </r>
  </si>
  <si>
    <r>
      <t xml:space="preserve">Adicional Noturno </t>
    </r>
    <r>
      <rPr>
        <b/>
        <sz val="10"/>
        <color rgb="FFFF0000"/>
        <rFont val="Calibri"/>
        <family val="2"/>
        <scheme val="minor"/>
      </rPr>
      <t>20%</t>
    </r>
    <r>
      <rPr>
        <sz val="10"/>
        <rFont val="Calibri"/>
        <family val="2"/>
        <scheme val="minor"/>
      </rPr>
      <t xml:space="preserve"> </t>
    </r>
    <r>
      <rPr>
        <b/>
        <sz val="10"/>
        <color rgb="FFFF0000"/>
        <rFont val="Calibri"/>
        <family val="2"/>
        <scheme val="minor"/>
      </rPr>
      <t>(CLÁUSULA 8 CCT2022 SINDESP)</t>
    </r>
  </si>
  <si>
    <r>
      <t xml:space="preserve">Plano de Prevenção e Proteção a Vida e a Família </t>
    </r>
    <r>
      <rPr>
        <b/>
        <sz val="10"/>
        <color rgb="FFFF0000"/>
        <rFont val="Calibri"/>
        <family val="2"/>
        <scheme val="minor"/>
      </rPr>
      <t>(Cláusula 14a CCT2022 SINDESP)</t>
    </r>
  </si>
  <si>
    <r>
      <t xml:space="preserve">Transporte </t>
    </r>
    <r>
      <rPr>
        <b/>
        <sz val="10"/>
        <color rgb="FFFF0000"/>
        <rFont val="Calibri"/>
        <family val="2"/>
        <scheme val="minor"/>
      </rPr>
      <t xml:space="preserve"> (Cláusula 13a, CCT 2022 SINDESP)</t>
    </r>
    <r>
      <rPr>
        <b/>
        <sz val="10"/>
        <color rgb="FF3333FF"/>
        <rFont val="Calibri"/>
        <family val="2"/>
        <scheme val="minor"/>
      </rPr>
      <t xml:space="preserve"> R$ 4,95</t>
    </r>
  </si>
  <si>
    <r>
      <t xml:space="preserve">Transporte </t>
    </r>
    <r>
      <rPr>
        <b/>
        <sz val="10"/>
        <color rgb="FFFF0000"/>
        <rFont val="Calibri"/>
        <family val="2"/>
        <scheme val="minor"/>
      </rPr>
      <t xml:space="preserve"> (Cláusula 13a, CCT 2022 SINDESP)</t>
    </r>
    <r>
      <rPr>
        <sz val="10"/>
        <color theme="1"/>
        <rFont val="Calibri"/>
        <family val="2"/>
        <scheme val="minor"/>
      </rPr>
      <t xml:space="preserve">  </t>
    </r>
    <r>
      <rPr>
        <b/>
        <sz val="10"/>
        <color rgb="FF3333FF"/>
        <rFont val="Calibri"/>
        <family val="2"/>
        <scheme val="minor"/>
      </rPr>
      <t>R$ 4,95</t>
    </r>
  </si>
  <si>
    <r>
      <t xml:space="preserve">Intrajornada </t>
    </r>
    <r>
      <rPr>
        <b/>
        <sz val="10"/>
        <color rgb="FFFF0000"/>
        <rFont val="Calibri"/>
        <family val="2"/>
        <scheme val="minor"/>
      </rPr>
      <t>(CLÁUSULA 7 CCT2022 SINDESP)</t>
    </r>
  </si>
  <si>
    <r>
      <t xml:space="preserve">Intervalo para repouso e alimentação </t>
    </r>
    <r>
      <rPr>
        <b/>
        <sz val="10"/>
        <color rgb="FFFF0000"/>
        <rFont val="Calibri"/>
        <family val="2"/>
        <scheme val="minor"/>
      </rPr>
      <t>(CLÁUSULA 7 CCT2022 SINDESP)</t>
    </r>
  </si>
  <si>
    <r>
      <t xml:space="preserve">C.3. Tributos Municipais (ISS) - </t>
    </r>
    <r>
      <rPr>
        <b/>
        <sz val="10"/>
        <color rgb="FFFF0000"/>
        <rFont val="Calibri"/>
        <family val="2"/>
        <scheme val="minor"/>
      </rPr>
      <t>Cuiabá</t>
    </r>
    <r>
      <rPr>
        <sz val="10"/>
        <color theme="1"/>
        <rFont val="Calibri"/>
        <family val="2"/>
        <scheme val="minor"/>
      </rPr>
      <t xml:space="preserve"> </t>
    </r>
    <r>
      <rPr>
        <b/>
        <sz val="10"/>
        <color rgb="FFFF0000"/>
        <rFont val="Calibri"/>
        <family val="2"/>
        <scheme val="minor"/>
      </rPr>
      <t>5%</t>
    </r>
  </si>
  <si>
    <r>
      <t xml:space="preserve">C.3. Tributos Municipais (ISS) - </t>
    </r>
    <r>
      <rPr>
        <b/>
        <sz val="10"/>
        <color rgb="FFFF0000"/>
        <rFont val="Calibri"/>
        <family val="2"/>
        <scheme val="minor"/>
      </rPr>
      <t>Cuiabá 5%</t>
    </r>
  </si>
  <si>
    <t>GRUPO</t>
  </si>
  <si>
    <t>LOCAL</t>
  </si>
  <si>
    <t>ESCALA</t>
  </si>
  <si>
    <t>QTD. POSTOS</t>
  </si>
  <si>
    <t>VALOR MENSAL</t>
  </si>
  <si>
    <t>CUIABÁ/MT</t>
  </si>
  <si>
    <t>12X36 diurno</t>
  </si>
  <si>
    <t>12x36 noturno</t>
  </si>
  <si>
    <t>BARRA DO GARÇAS/MT</t>
  </si>
  <si>
    <t>CÁCERES/MT</t>
  </si>
  <si>
    <t>RONDONÓPOLIS/MT</t>
  </si>
  <si>
    <t>SINOP/MT</t>
  </si>
  <si>
    <t>RESUMO</t>
  </si>
  <si>
    <t>VALOR POR EMPREGADO</t>
  </si>
  <si>
    <r>
      <t xml:space="preserve">C.3. Tributos Municipais (ISS) - </t>
    </r>
    <r>
      <rPr>
        <b/>
        <sz val="10"/>
        <color rgb="FFFF0000"/>
        <rFont val="Calibri"/>
        <family val="2"/>
        <scheme val="minor"/>
      </rPr>
      <t>Cáceres 5%</t>
    </r>
  </si>
  <si>
    <r>
      <t xml:space="preserve">Transporte </t>
    </r>
    <r>
      <rPr>
        <b/>
        <sz val="10"/>
        <color rgb="FFFF0000"/>
        <rFont val="Calibri"/>
        <family val="2"/>
        <scheme val="minor"/>
      </rPr>
      <t xml:space="preserve"> (Cláusula 13a, CCT 2022 SINDESP)</t>
    </r>
    <r>
      <rPr>
        <b/>
        <sz val="10"/>
        <color rgb="FF3333FF"/>
        <rFont val="Calibri"/>
        <family val="2"/>
        <scheme val="minor"/>
      </rPr>
      <t xml:space="preserve"> por enquanto está suspenso</t>
    </r>
  </si>
  <si>
    <r>
      <t xml:space="preserve">C.3. Tributos Municipais (ISS) - </t>
    </r>
    <r>
      <rPr>
        <b/>
        <sz val="10"/>
        <color rgb="FFFF0000"/>
        <rFont val="Calibri"/>
        <family val="2"/>
        <scheme val="minor"/>
      </rPr>
      <t>Rondonópolis 5%</t>
    </r>
  </si>
  <si>
    <r>
      <t xml:space="preserve">Transporte </t>
    </r>
    <r>
      <rPr>
        <b/>
        <sz val="10"/>
        <color rgb="FFFF0000"/>
        <rFont val="Calibri"/>
        <family val="2"/>
        <scheme val="minor"/>
      </rPr>
      <t xml:space="preserve"> (Cláusula 13a, CCT 2022 SINDESP)</t>
    </r>
    <r>
      <rPr>
        <b/>
        <sz val="10"/>
        <color rgb="FF3333FF"/>
        <rFont val="Calibri"/>
        <family val="2"/>
        <scheme val="minor"/>
      </rPr>
      <t xml:space="preserve"> R$ 4,10</t>
    </r>
  </si>
  <si>
    <r>
      <t xml:space="preserve">Transporte </t>
    </r>
    <r>
      <rPr>
        <b/>
        <sz val="10"/>
        <color rgb="FFFF0000"/>
        <rFont val="Calibri"/>
        <family val="2"/>
        <scheme val="minor"/>
      </rPr>
      <t xml:space="preserve"> (Cláusula 13a, CCT 2022 SINDESP)</t>
    </r>
    <r>
      <rPr>
        <b/>
        <sz val="10"/>
        <color rgb="FF3333FF"/>
        <rFont val="Calibri"/>
        <family val="2"/>
        <scheme val="minor"/>
      </rPr>
      <t xml:space="preserve"> R$ 6,00</t>
    </r>
  </si>
  <si>
    <r>
      <t xml:space="preserve">C.3. Tributos Municipais (ISS) - </t>
    </r>
    <r>
      <rPr>
        <b/>
        <sz val="10"/>
        <color rgb="FFFF0000"/>
        <rFont val="Calibri"/>
        <family val="2"/>
        <scheme val="minor"/>
      </rPr>
      <t>Barra do Garças 3%</t>
    </r>
  </si>
  <si>
    <r>
      <t xml:space="preserve">C.3. Tributos Municipais (ISS) - </t>
    </r>
    <r>
      <rPr>
        <b/>
        <sz val="10"/>
        <color rgb="FFFF0000"/>
        <rFont val="Calibri"/>
        <family val="2"/>
        <scheme val="minor"/>
      </rPr>
      <t>Sinop 4%</t>
    </r>
  </si>
  <si>
    <r>
      <t xml:space="preserve">Transporte </t>
    </r>
    <r>
      <rPr>
        <b/>
        <sz val="10"/>
        <color rgb="FFFF0000"/>
        <rFont val="Calibri"/>
        <family val="2"/>
        <scheme val="minor"/>
      </rPr>
      <t xml:space="preserve"> (Cláusula 13a, CCT 2022 SINDESP)</t>
    </r>
    <r>
      <rPr>
        <b/>
        <sz val="10"/>
        <color rgb="FF3333FF"/>
        <rFont val="Calibri"/>
        <family val="2"/>
        <scheme val="minor"/>
      </rPr>
      <t xml:space="preserve"> suspenso, por enquanto</t>
    </r>
  </si>
  <si>
    <r>
      <t xml:space="preserve">Transporte </t>
    </r>
    <r>
      <rPr>
        <b/>
        <sz val="10"/>
        <color rgb="FFFF0000"/>
        <rFont val="Calibri"/>
        <family val="2"/>
        <scheme val="minor"/>
      </rPr>
      <t xml:space="preserve"> (Cláusula 13a, CCT 2022 SINDESP)</t>
    </r>
    <r>
      <rPr>
        <sz val="10"/>
        <color theme="1"/>
        <rFont val="Calibri"/>
        <family val="2"/>
        <scheme val="minor"/>
      </rPr>
      <t xml:space="preserve">  </t>
    </r>
    <r>
      <rPr>
        <b/>
        <sz val="10"/>
        <color rgb="FF3333FF"/>
        <rFont val="Calibri"/>
        <family val="2"/>
        <scheme val="minor"/>
      </rPr>
      <t>suspenso, por enquanto</t>
    </r>
  </si>
  <si>
    <r>
      <t xml:space="preserve">C.3. Tributos Municipais (ISS) - </t>
    </r>
    <r>
      <rPr>
        <b/>
        <sz val="10"/>
        <color rgb="FFFF0000"/>
        <rFont val="Calibri"/>
        <family val="2"/>
        <scheme val="minor"/>
      </rPr>
      <t>Cáceres</t>
    </r>
    <r>
      <rPr>
        <sz val="10"/>
        <color theme="1"/>
        <rFont val="Calibri"/>
        <family val="2"/>
        <scheme val="minor"/>
      </rPr>
      <t xml:space="preserve"> </t>
    </r>
    <r>
      <rPr>
        <b/>
        <sz val="10"/>
        <color rgb="FFFF0000"/>
        <rFont val="Calibri"/>
        <family val="2"/>
        <scheme val="minor"/>
      </rPr>
      <t>5%</t>
    </r>
  </si>
  <si>
    <r>
      <t xml:space="preserve">Transporte </t>
    </r>
    <r>
      <rPr>
        <b/>
        <sz val="10"/>
        <color rgb="FFFF0000"/>
        <rFont val="Calibri"/>
        <family val="2"/>
        <scheme val="minor"/>
      </rPr>
      <t xml:space="preserve"> (Cláusula 13a, CCT 2022 SINDESP)</t>
    </r>
    <r>
      <rPr>
        <sz val="10"/>
        <color theme="1"/>
        <rFont val="Calibri"/>
        <family val="2"/>
        <scheme val="minor"/>
      </rPr>
      <t xml:space="preserve">  </t>
    </r>
    <r>
      <rPr>
        <b/>
        <sz val="10"/>
        <color rgb="FF3333FF"/>
        <rFont val="Calibri"/>
        <family val="2"/>
        <scheme val="minor"/>
      </rPr>
      <t>R$ 4,10</t>
    </r>
  </si>
  <si>
    <r>
      <t xml:space="preserve">Transporte </t>
    </r>
    <r>
      <rPr>
        <b/>
        <sz val="10"/>
        <color rgb="FFFF0000"/>
        <rFont val="Calibri"/>
        <family val="2"/>
        <scheme val="minor"/>
      </rPr>
      <t xml:space="preserve"> (Cláusula 13a, CCT 2022 SINDESP)</t>
    </r>
    <r>
      <rPr>
        <sz val="10"/>
        <color theme="1"/>
        <rFont val="Calibri"/>
        <family val="2"/>
        <scheme val="minor"/>
      </rPr>
      <t xml:space="preserve">  </t>
    </r>
    <r>
      <rPr>
        <b/>
        <sz val="10"/>
        <color rgb="FF3333FF"/>
        <rFont val="Calibri"/>
        <family val="2"/>
        <scheme val="minor"/>
      </rPr>
      <t>R$ 6,00</t>
    </r>
  </si>
  <si>
    <t>SINOP-MT</t>
  </si>
  <si>
    <t>BARRA DO GARÇAS-MT</t>
  </si>
  <si>
    <t>RONDONÓPOLIS-MT</t>
  </si>
  <si>
    <t>CÁCERES-MT</t>
  </si>
  <si>
    <t>CÁCRES-MT</t>
  </si>
  <si>
    <t>PLANILHA DE CUSTOS E FORMAÇÃO DE PREÇOS - SR/PF/MT</t>
  </si>
  <si>
    <t>Nº PROCESSO: 08320.005114/2022-22</t>
  </si>
  <si>
    <t>QUANTIDADE DE VIGILANTES POR POSTO</t>
  </si>
  <si>
    <r>
      <t xml:space="preserve">Adicional de Periculosidade </t>
    </r>
    <r>
      <rPr>
        <b/>
        <sz val="10"/>
        <color rgb="FFFF0000"/>
        <rFont val="Calibri"/>
        <family val="2"/>
        <scheme val="minor"/>
      </rPr>
      <t xml:space="preserve"> (CLÁUSULA 10 CCT2022 SINDESP)</t>
    </r>
  </si>
  <si>
    <r>
      <t xml:space="preserve">Auxílio-Refeição/Alimentação  </t>
    </r>
    <r>
      <rPr>
        <b/>
        <sz val="10"/>
        <color rgb="FFFF0000"/>
        <rFont val="Calibri"/>
        <family val="2"/>
        <scheme val="minor"/>
      </rPr>
      <t>(Cláusula 12a, CCT 2022 SINDESP)</t>
    </r>
    <r>
      <rPr>
        <sz val="10"/>
        <color theme="1"/>
        <rFont val="Calibri"/>
        <family val="2"/>
        <scheme val="minor"/>
      </rPr>
      <t xml:space="preserve"> </t>
    </r>
    <r>
      <rPr>
        <b/>
        <sz val="10"/>
        <color rgb="FF3333FF"/>
        <rFont val="Calibri"/>
        <family val="2"/>
        <scheme val="minor"/>
      </rPr>
      <t>R$ 23,13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</si>
</sst>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* #,##0.00_);_(* \(#,##0.00\);_(* \-??_);_(@_)"/>
    <numFmt numFmtId="166" formatCode="0.0000%"/>
    <numFmt numFmtId="167" formatCode="&quot;R$ &quot;#,##0.00"/>
    <numFmt numFmtId="168" formatCode="d/m/yyyy"/>
    <numFmt numFmtId="169" formatCode="0.0%"/>
    <numFmt numFmtId="170" formatCode="#,##0.00_ ;\-#,##0.00\ 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64"/>
      <name val="Calibri"/>
      <family val="2"/>
      <scheme val="minor"/>
    </font>
    <font>
      <b/>
      <sz val="9"/>
      <color indexed="81"/>
      <name val="Segoe UI"/>
      <family val="2"/>
    </font>
    <font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2"/>
      <color rgb="FF000000"/>
      <name val="Calibri"/>
      <family val="2"/>
    </font>
    <font>
      <b/>
      <sz val="11"/>
      <color rgb="FF000000"/>
      <name val="Calibri"/>
      <family val="2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color rgb="FFFF0000"/>
      <name val="Calibri"/>
      <family val="2"/>
      <scheme val="minor"/>
    </font>
    <font>
      <sz val="12"/>
      <color rgb="FFFF0000"/>
      <name val="Calibri"/>
      <family val="2"/>
    </font>
    <font>
      <b/>
      <sz val="8"/>
      <color rgb="FFFF0000"/>
      <name val="Calibri"/>
      <family val="2"/>
      <scheme val="minor"/>
    </font>
    <font>
      <b/>
      <sz val="10"/>
      <color rgb="FF3333FF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4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rgb="FFFFFFCC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3">
    <xf numFmtId="0" fontId="0" fillId="0" borderId="0"/>
    <xf numFmtId="9" fontId="1" fillId="0" borderId="0" applyFont="0" applyFill="0" applyBorder="0" applyAlignment="0" applyProtection="0"/>
    <xf numFmtId="165" fontId="2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3" applyNumberFormat="0" applyFill="0" applyAlignment="0" applyProtection="0"/>
    <xf numFmtId="0" fontId="5" fillId="0" borderId="4" applyNumberFormat="0" applyFill="0" applyAlignment="0" applyProtection="0"/>
    <xf numFmtId="0" fontId="6" fillId="0" borderId="5" applyNumberFormat="0" applyFill="0" applyAlignment="0" applyProtection="0"/>
    <xf numFmtId="0" fontId="6" fillId="0" borderId="0" applyNumberFormat="0" applyFill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10" fillId="6" borderId="6" applyNumberFormat="0" applyAlignment="0" applyProtection="0"/>
    <xf numFmtId="0" fontId="11" fillId="7" borderId="7" applyNumberFormat="0" applyAlignment="0" applyProtection="0"/>
    <xf numFmtId="0" fontId="12" fillId="7" borderId="6" applyNumberFormat="0" applyAlignment="0" applyProtection="0"/>
    <xf numFmtId="0" fontId="13" fillId="0" borderId="8" applyNumberFormat="0" applyFill="0" applyAlignment="0" applyProtection="0"/>
    <xf numFmtId="0" fontId="14" fillId="8" borderId="9" applyNumberFormat="0" applyAlignment="0" applyProtection="0"/>
    <xf numFmtId="0" fontId="15" fillId="0" borderId="0" applyNumberFormat="0" applyFill="0" applyBorder="0" applyAlignment="0" applyProtection="0"/>
    <xf numFmtId="0" fontId="1" fillId="9" borderId="10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11" applyNumberFormat="0" applyFill="0" applyAlignment="0" applyProtection="0"/>
    <xf numFmtId="0" fontId="18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8" fillId="25" borderId="0" applyNumberFormat="0" applyBorder="0" applyAlignment="0" applyProtection="0"/>
    <xf numFmtId="0" fontId="18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8" fillId="29" borderId="0" applyNumberFormat="0" applyBorder="0" applyAlignment="0" applyProtection="0"/>
    <xf numFmtId="0" fontId="18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33" borderId="0" applyNumberFormat="0" applyBorder="0" applyAlignment="0" applyProtection="0"/>
    <xf numFmtId="43" fontId="1" fillId="0" borderId="0" applyFont="0" applyFill="0" applyBorder="0" applyAlignment="0" applyProtection="0"/>
    <xf numFmtId="0" fontId="1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64">
    <xf numFmtId="0" fontId="0" fillId="0" borderId="0" xfId="0"/>
    <xf numFmtId="0" fontId="21" fillId="0" borderId="12" xfId="0" applyFont="1" applyBorder="1" applyAlignment="1" applyProtection="1">
      <alignment wrapText="1"/>
    </xf>
    <xf numFmtId="0" fontId="24" fillId="0" borderId="12" xfId="0" applyFont="1" applyBorder="1" applyAlignment="1">
      <alignment horizontal="center" vertical="center"/>
    </xf>
    <xf numFmtId="0" fontId="24" fillId="36" borderId="12" xfId="0" applyFont="1" applyFill="1" applyBorder="1" applyAlignment="1">
      <alignment horizontal="center" vertical="center" wrapText="1"/>
    </xf>
    <xf numFmtId="0" fontId="25" fillId="0" borderId="0" xfId="0" applyFont="1"/>
    <xf numFmtId="0" fontId="26" fillId="0" borderId="12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justify" vertical="center"/>
    </xf>
    <xf numFmtId="0" fontId="25" fillId="0" borderId="12" xfId="0" applyFont="1" applyBorder="1" applyAlignment="1">
      <alignment horizontal="center"/>
    </xf>
    <xf numFmtId="164" fontId="1" fillId="0" borderId="12" xfId="52" applyBorder="1"/>
    <xf numFmtId="164" fontId="28" fillId="37" borderId="12" xfId="52" applyFont="1" applyFill="1" applyBorder="1"/>
    <xf numFmtId="0" fontId="26" fillId="0" borderId="12" xfId="0" applyFont="1" applyBorder="1" applyAlignment="1">
      <alignment horizontal="center" wrapText="1"/>
    </xf>
    <xf numFmtId="0" fontId="27" fillId="0" borderId="12" xfId="0" applyFont="1" applyBorder="1" applyAlignment="1"/>
    <xf numFmtId="0" fontId="25" fillId="0" borderId="0" xfId="0" applyFont="1" applyAlignment="1"/>
    <xf numFmtId="0" fontId="29" fillId="0" borderId="0" xfId="0" applyFont="1"/>
    <xf numFmtId="0" fontId="32" fillId="0" borderId="0" xfId="0" applyFont="1"/>
    <xf numFmtId="0" fontId="25" fillId="39" borderId="13" xfId="0" applyFont="1" applyFill="1" applyBorder="1" applyAlignment="1" applyProtection="1"/>
    <xf numFmtId="14" fontId="33" fillId="0" borderId="12" xfId="0" applyNumberFormat="1" applyFont="1" applyFill="1" applyBorder="1" applyAlignment="1" applyProtection="1">
      <alignment horizontal="center"/>
      <protection locked="0"/>
    </xf>
    <xf numFmtId="0" fontId="22" fillId="37" borderId="12" xfId="0" applyFont="1" applyFill="1" applyBorder="1" applyAlignment="1" applyProtection="1">
      <alignment horizontal="center"/>
    </xf>
    <xf numFmtId="0" fontId="34" fillId="0" borderId="12" xfId="0" applyFont="1" applyFill="1" applyBorder="1" applyAlignment="1" applyProtection="1">
      <alignment horizontal="center"/>
    </xf>
    <xf numFmtId="0" fontId="25" fillId="39" borderId="12" xfId="0" applyFont="1" applyFill="1" applyBorder="1" applyAlignment="1" applyProtection="1">
      <alignment horizontal="center"/>
    </xf>
    <xf numFmtId="0" fontId="22" fillId="40" borderId="12" xfId="0" applyFont="1" applyFill="1" applyBorder="1" applyAlignment="1" applyProtection="1">
      <alignment horizontal="center"/>
    </xf>
    <xf numFmtId="0" fontId="33" fillId="39" borderId="12" xfId="0" applyFont="1" applyFill="1" applyBorder="1" applyAlignment="1" applyProtection="1">
      <alignment horizontal="center"/>
    </xf>
    <xf numFmtId="0" fontId="25" fillId="0" borderId="12" xfId="0" applyFont="1" applyBorder="1" applyAlignment="1" applyProtection="1"/>
    <xf numFmtId="0" fontId="21" fillId="0" borderId="12" xfId="0" applyFont="1" applyBorder="1" applyAlignment="1" applyProtection="1">
      <alignment horizontal="center"/>
    </xf>
    <xf numFmtId="0" fontId="35" fillId="0" borderId="12" xfId="0" applyFont="1" applyBorder="1" applyAlignment="1" applyProtection="1">
      <alignment horizontal="center"/>
    </xf>
    <xf numFmtId="0" fontId="33" fillId="0" borderId="12" xfId="0" applyFont="1" applyBorder="1" applyAlignment="1" applyProtection="1">
      <alignment vertical="center" wrapText="1"/>
      <protection locked="0"/>
    </xf>
    <xf numFmtId="168" fontId="25" fillId="0" borderId="12" xfId="0" applyNumberFormat="1" applyFont="1" applyBorder="1" applyAlignment="1" applyProtection="1">
      <alignment horizontal="center"/>
    </xf>
    <xf numFmtId="0" fontId="25" fillId="39" borderId="12" xfId="0" applyFont="1" applyFill="1" applyBorder="1" applyAlignment="1" applyProtection="1"/>
    <xf numFmtId="0" fontId="21" fillId="0" borderId="13" xfId="0" applyFont="1" applyFill="1" applyBorder="1" applyAlignment="1" applyProtection="1">
      <alignment vertical="center" wrapText="1"/>
    </xf>
    <xf numFmtId="0" fontId="34" fillId="0" borderId="12" xfId="0" applyFont="1" applyFill="1" applyBorder="1" applyAlignment="1" applyProtection="1"/>
    <xf numFmtId="0" fontId="32" fillId="0" borderId="12" xfId="0" applyFont="1" applyBorder="1" applyAlignment="1">
      <alignment horizontal="center" vertical="center" wrapText="1"/>
    </xf>
    <xf numFmtId="0" fontId="33" fillId="0" borderId="12" xfId="0" applyFont="1" applyBorder="1" applyAlignment="1" applyProtection="1">
      <alignment horizontal="center" vertical="center" wrapText="1"/>
    </xf>
    <xf numFmtId="0" fontId="24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164" fontId="32" fillId="0" borderId="0" xfId="52" applyFont="1" applyBorder="1" applyAlignment="1">
      <alignment horizontal="center" vertical="center" wrapText="1"/>
    </xf>
    <xf numFmtId="44" fontId="32" fillId="0" borderId="0" xfId="0" applyNumberFormat="1" applyFont="1"/>
    <xf numFmtId="166" fontId="32" fillId="0" borderId="0" xfId="0" applyNumberFormat="1" applyFont="1"/>
    <xf numFmtId="164" fontId="32" fillId="0" borderId="0" xfId="0" applyNumberFormat="1" applyFont="1"/>
    <xf numFmtId="164" fontId="32" fillId="0" borderId="0" xfId="52" applyFont="1"/>
    <xf numFmtId="0" fontId="22" fillId="0" borderId="12" xfId="0" applyFont="1" applyFill="1" applyBorder="1" applyAlignment="1" applyProtection="1">
      <alignment horizontal="center"/>
      <protection locked="0"/>
    </xf>
    <xf numFmtId="0" fontId="22" fillId="0" borderId="12" xfId="0" applyFont="1" applyBorder="1" applyAlignment="1" applyProtection="1">
      <alignment horizontal="center"/>
    </xf>
    <xf numFmtId="167" fontId="22" fillId="0" borderId="12" xfId="0" applyNumberFormat="1" applyFont="1" applyBorder="1" applyAlignment="1" applyProtection="1">
      <alignment horizontal="center"/>
    </xf>
    <xf numFmtId="164" fontId="22" fillId="0" borderId="0" xfId="52" applyFont="1"/>
    <xf numFmtId="0" fontId="24" fillId="0" borderId="12" xfId="0" applyFont="1" applyBorder="1" applyAlignment="1">
      <alignment horizontal="center" vertical="center" wrapText="1"/>
    </xf>
    <xf numFmtId="0" fontId="24" fillId="0" borderId="12" xfId="0" applyFont="1" applyBorder="1" applyAlignment="1">
      <alignment vertical="center" wrapText="1"/>
    </xf>
    <xf numFmtId="0" fontId="32" fillId="0" borderId="12" xfId="0" applyFont="1" applyBorder="1" applyAlignment="1">
      <alignment vertical="center" wrapText="1"/>
    </xf>
    <xf numFmtId="10" fontId="32" fillId="0" borderId="12" xfId="1" applyNumberFormat="1" applyFont="1" applyBorder="1" applyAlignment="1">
      <alignment horizontal="center" vertical="center" wrapText="1"/>
    </xf>
    <xf numFmtId="164" fontId="32" fillId="0" borderId="12" xfId="0" applyNumberFormat="1" applyFont="1" applyBorder="1" applyAlignment="1">
      <alignment horizontal="center" vertical="center" wrapText="1"/>
    </xf>
    <xf numFmtId="10" fontId="22" fillId="0" borderId="12" xfId="1" applyNumberFormat="1" applyFont="1" applyBorder="1" applyAlignment="1">
      <alignment horizontal="center" vertical="center" wrapText="1"/>
    </xf>
    <xf numFmtId="164" fontId="32" fillId="0" borderId="12" xfId="52" applyFont="1" applyBorder="1"/>
    <xf numFmtId="164" fontId="24" fillId="37" borderId="12" xfId="0" applyNumberFormat="1" applyFont="1" applyFill="1" applyBorder="1" applyAlignment="1">
      <alignment horizontal="center" vertical="center" wrapText="1"/>
    </xf>
    <xf numFmtId="164" fontId="32" fillId="0" borderId="12" xfId="0" applyNumberFormat="1" applyFont="1" applyBorder="1" applyAlignment="1">
      <alignment vertical="center" wrapText="1"/>
    </xf>
    <xf numFmtId="0" fontId="21" fillId="0" borderId="12" xfId="0" applyFont="1" applyBorder="1" applyAlignment="1">
      <alignment vertical="center" wrapText="1"/>
    </xf>
    <xf numFmtId="164" fontId="24" fillId="0" borderId="12" xfId="0" applyNumberFormat="1" applyFont="1" applyBorder="1" applyAlignment="1">
      <alignment vertical="center" wrapText="1"/>
    </xf>
    <xf numFmtId="164" fontId="24" fillId="36" borderId="12" xfId="0" applyNumberFormat="1" applyFont="1" applyFill="1" applyBorder="1" applyAlignment="1">
      <alignment vertical="center" wrapText="1"/>
    </xf>
    <xf numFmtId="169" fontId="22" fillId="0" borderId="12" xfId="1" applyNumberFormat="1" applyFont="1" applyBorder="1" applyAlignment="1">
      <alignment horizontal="center"/>
    </xf>
    <xf numFmtId="164" fontId="32" fillId="0" borderId="12" xfId="52" applyFont="1" applyBorder="1" applyAlignment="1">
      <alignment horizontal="center" vertical="center" wrapText="1"/>
    </xf>
    <xf numFmtId="164" fontId="24" fillId="37" borderId="12" xfId="52" applyFont="1" applyFill="1" applyBorder="1" applyAlignment="1">
      <alignment horizontal="center" vertical="center" wrapText="1"/>
    </xf>
    <xf numFmtId="0" fontId="24" fillId="37" borderId="12" xfId="0" applyFont="1" applyFill="1" applyBorder="1" applyAlignment="1">
      <alignment horizontal="center" vertical="center" wrapText="1"/>
    </xf>
    <xf numFmtId="164" fontId="22" fillId="0" borderId="12" xfId="0" applyNumberFormat="1" applyFont="1" applyBorder="1" applyAlignment="1">
      <alignment horizontal="center" vertical="center" wrapText="1"/>
    </xf>
    <xf numFmtId="0" fontId="32" fillId="0" borderId="12" xfId="0" applyFont="1" applyBorder="1" applyAlignment="1">
      <alignment horizontal="justify" vertical="center" wrapText="1"/>
    </xf>
    <xf numFmtId="164" fontId="32" fillId="0" borderId="12" xfId="52" applyFont="1" applyFill="1" applyBorder="1" applyAlignment="1">
      <alignment horizontal="center" vertical="center" wrapText="1"/>
    </xf>
    <xf numFmtId="0" fontId="21" fillId="0" borderId="12" xfId="0" applyFont="1" applyBorder="1" applyAlignment="1">
      <alignment horizontal="justify" vertical="center" wrapText="1"/>
    </xf>
    <xf numFmtId="164" fontId="24" fillId="0" borderId="12" xfId="52" applyFont="1" applyFill="1" applyBorder="1" applyAlignment="1">
      <alignment horizontal="center" vertical="center" wrapText="1"/>
    </xf>
    <xf numFmtId="44" fontId="24" fillId="38" borderId="12" xfId="0" applyNumberFormat="1" applyFont="1" applyFill="1" applyBorder="1"/>
    <xf numFmtId="10" fontId="32" fillId="0" borderId="12" xfId="0" applyNumberFormat="1" applyFont="1" applyBorder="1" applyAlignment="1">
      <alignment horizontal="center" vertical="center" wrapText="1"/>
    </xf>
    <xf numFmtId="9" fontId="22" fillId="34" borderId="12" xfId="0" applyNumberFormat="1" applyFont="1" applyFill="1" applyBorder="1" applyAlignment="1">
      <alignment horizontal="center" vertical="center" wrapText="1"/>
    </xf>
    <xf numFmtId="10" fontId="24" fillId="38" borderId="12" xfId="0" applyNumberFormat="1" applyFont="1" applyFill="1" applyBorder="1" applyAlignment="1">
      <alignment horizontal="center" vertical="center" wrapText="1"/>
    </xf>
    <xf numFmtId="164" fontId="24" fillId="38" borderId="12" xfId="52" applyFont="1" applyFill="1" applyBorder="1" applyAlignment="1">
      <alignment horizontal="center" vertical="center" wrapText="1"/>
    </xf>
    <xf numFmtId="164" fontId="35" fillId="0" borderId="12" xfId="52" applyFont="1" applyBorder="1" applyAlignment="1">
      <alignment horizontal="center" vertical="center" wrapText="1"/>
    </xf>
    <xf numFmtId="0" fontId="21" fillId="0" borderId="12" xfId="0" applyFont="1" applyFill="1" applyBorder="1" applyAlignment="1" applyProtection="1">
      <alignment vertical="center" wrapText="1"/>
    </xf>
    <xf numFmtId="10" fontId="24" fillId="0" borderId="12" xfId="0" applyNumberFormat="1" applyFont="1" applyBorder="1" applyAlignment="1">
      <alignment horizontal="center" vertical="center" wrapText="1"/>
    </xf>
    <xf numFmtId="164" fontId="32" fillId="0" borderId="12" xfId="0" applyNumberFormat="1" applyFont="1" applyBorder="1"/>
    <xf numFmtId="9" fontId="32" fillId="0" borderId="12" xfId="1" applyFont="1" applyBorder="1" applyAlignment="1">
      <alignment horizontal="center" vertical="center" wrapText="1"/>
    </xf>
    <xf numFmtId="0" fontId="32" fillId="0" borderId="12" xfId="0" applyFont="1" applyBorder="1"/>
    <xf numFmtId="164" fontId="22" fillId="0" borderId="12" xfId="52" applyFont="1" applyBorder="1" applyAlignment="1">
      <alignment horizontal="center"/>
    </xf>
    <xf numFmtId="0" fontId="0" fillId="0" borderId="12" xfId="0" applyBorder="1" applyAlignment="1">
      <alignment horizontal="left" wrapText="1"/>
    </xf>
    <xf numFmtId="0" fontId="27" fillId="0" borderId="12" xfId="0" applyFont="1" applyBorder="1" applyAlignment="1">
      <alignment vertical="center" wrapText="1"/>
    </xf>
    <xf numFmtId="0" fontId="25" fillId="0" borderId="12" xfId="0" applyFont="1" applyBorder="1" applyAlignment="1">
      <alignment horizontal="center" vertical="center"/>
    </xf>
    <xf numFmtId="164" fontId="1" fillId="0" borderId="12" xfId="52" applyBorder="1" applyAlignment="1">
      <alignment horizontal="center"/>
    </xf>
    <xf numFmtId="164" fontId="25" fillId="0" borderId="12" xfId="0" applyNumberFormat="1" applyFont="1" applyBorder="1" applyAlignment="1">
      <alignment horizontal="center"/>
    </xf>
    <xf numFmtId="164" fontId="25" fillId="0" borderId="12" xfId="52" applyFont="1" applyBorder="1" applyAlignment="1">
      <alignment horizontal="center" vertical="center"/>
    </xf>
    <xf numFmtId="0" fontId="24" fillId="36" borderId="12" xfId="0" applyFont="1" applyFill="1" applyBorder="1" applyAlignment="1">
      <alignment horizontal="center" vertical="center"/>
    </xf>
    <xf numFmtId="164" fontId="26" fillId="37" borderId="12" xfId="0" applyNumberFormat="1" applyFont="1" applyFill="1" applyBorder="1" applyAlignment="1">
      <alignment horizontal="center"/>
    </xf>
    <xf numFmtId="164" fontId="25" fillId="0" borderId="12" xfId="52" applyFont="1" applyFill="1" applyBorder="1" applyAlignment="1">
      <alignment horizontal="center" vertical="center"/>
    </xf>
    <xf numFmtId="44" fontId="26" fillId="38" borderId="12" xfId="0" applyNumberFormat="1" applyFont="1" applyFill="1" applyBorder="1"/>
    <xf numFmtId="44" fontId="26" fillId="37" borderId="12" xfId="0" applyNumberFormat="1" applyFont="1" applyFill="1" applyBorder="1"/>
    <xf numFmtId="0" fontId="22" fillId="0" borderId="12" xfId="0" applyFont="1" applyBorder="1" applyAlignment="1">
      <alignment horizontal="center" vertical="center" wrapText="1"/>
    </xf>
    <xf numFmtId="0" fontId="36" fillId="0" borderId="12" xfId="0" applyFont="1" applyBorder="1" applyAlignment="1">
      <alignment horizontal="justify" vertical="center"/>
    </xf>
    <xf numFmtId="170" fontId="1" fillId="0" borderId="12" xfId="52" applyNumberFormat="1" applyBorder="1" applyAlignment="1">
      <alignment horizontal="center"/>
    </xf>
    <xf numFmtId="0" fontId="25" fillId="0" borderId="15" xfId="0" applyFont="1" applyBorder="1" applyAlignment="1">
      <alignment horizontal="center"/>
    </xf>
    <xf numFmtId="0" fontId="27" fillId="0" borderId="17" xfId="0" applyFont="1" applyBorder="1" applyAlignment="1">
      <alignment horizontal="justify" vertical="center"/>
    </xf>
    <xf numFmtId="0" fontId="25" fillId="0" borderId="12" xfId="0" applyFont="1" applyBorder="1" applyAlignment="1">
      <alignment horizontal="left" vertical="center"/>
    </xf>
    <xf numFmtId="44" fontId="32" fillId="0" borderId="12" xfId="0" applyNumberFormat="1" applyFont="1" applyBorder="1"/>
    <xf numFmtId="0" fontId="38" fillId="0" borderId="12" xfId="0" applyFont="1" applyFill="1" applyBorder="1" applyAlignment="1" applyProtection="1">
      <alignment horizontal="center"/>
      <protection locked="0"/>
    </xf>
    <xf numFmtId="0" fontId="30" fillId="0" borderId="17" xfId="0" applyFont="1" applyFill="1" applyBorder="1" applyAlignment="1">
      <alignment horizontal="center" vertical="center" wrapText="1"/>
    </xf>
    <xf numFmtId="0" fontId="31" fillId="0" borderId="12" xfId="0" applyFont="1" applyFill="1" applyBorder="1" applyAlignment="1">
      <alignment horizontal="center"/>
    </xf>
    <xf numFmtId="0" fontId="31" fillId="37" borderId="12" xfId="0" applyFont="1" applyFill="1" applyBorder="1" applyAlignment="1">
      <alignment horizontal="center"/>
    </xf>
    <xf numFmtId="0" fontId="31" fillId="38" borderId="12" xfId="0" applyFont="1" applyFill="1" applyBorder="1" applyAlignment="1">
      <alignment horizontal="center"/>
    </xf>
    <xf numFmtId="0" fontId="30" fillId="42" borderId="12" xfId="0" applyFont="1" applyFill="1" applyBorder="1" applyAlignment="1">
      <alignment horizontal="center"/>
    </xf>
    <xf numFmtId="0" fontId="33" fillId="0" borderId="12" xfId="0" applyFont="1" applyBorder="1" applyAlignment="1" applyProtection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4" fillId="37" borderId="12" xfId="0" applyFont="1" applyFill="1" applyBorder="1" applyAlignment="1">
      <alignment horizontal="center" vertical="center" wrapText="1"/>
    </xf>
    <xf numFmtId="0" fontId="30" fillId="42" borderId="12" xfId="0" applyFont="1" applyFill="1" applyBorder="1" applyAlignment="1">
      <alignment horizontal="center"/>
    </xf>
    <xf numFmtId="0" fontId="23" fillId="38" borderId="12" xfId="0" applyFont="1" applyFill="1" applyBorder="1" applyAlignment="1">
      <alignment horizontal="center"/>
    </xf>
    <xf numFmtId="0" fontId="38" fillId="40" borderId="12" xfId="0" applyFont="1" applyFill="1" applyBorder="1" applyAlignment="1" applyProtection="1">
      <alignment horizontal="center"/>
    </xf>
    <xf numFmtId="9" fontId="22" fillId="0" borderId="12" xfId="1" applyFont="1" applyBorder="1" applyAlignment="1">
      <alignment horizontal="center" vertical="center" wrapText="1"/>
    </xf>
    <xf numFmtId="0" fontId="23" fillId="37" borderId="12" xfId="0" applyFont="1" applyFill="1" applyBorder="1" applyAlignment="1">
      <alignment horizontal="center"/>
    </xf>
    <xf numFmtId="0" fontId="30" fillId="36" borderId="17" xfId="0" applyFont="1" applyFill="1" applyBorder="1" applyAlignment="1">
      <alignment horizontal="center" vertical="center" wrapText="1"/>
    </xf>
    <xf numFmtId="170" fontId="32" fillId="0" borderId="12" xfId="52" applyNumberFormat="1" applyFont="1" applyBorder="1" applyAlignment="1">
      <alignment horizontal="center" vertical="center" wrapText="1"/>
    </xf>
    <xf numFmtId="170" fontId="24" fillId="38" borderId="12" xfId="52" applyNumberFormat="1" applyFont="1" applyFill="1" applyBorder="1" applyAlignment="1">
      <alignment horizontal="center" vertical="center" wrapText="1"/>
    </xf>
    <xf numFmtId="170" fontId="24" fillId="37" borderId="12" xfId="52" applyNumberFormat="1" applyFont="1" applyFill="1" applyBorder="1" applyAlignment="1">
      <alignment horizontal="center" vertical="center" wrapText="1"/>
    </xf>
    <xf numFmtId="170" fontId="35" fillId="0" borderId="12" xfId="52" applyNumberFormat="1" applyFont="1" applyBorder="1" applyAlignment="1">
      <alignment horizontal="center" vertical="center" wrapText="1"/>
    </xf>
    <xf numFmtId="170" fontId="32" fillId="0" borderId="12" xfId="0" applyNumberFormat="1" applyFont="1" applyBorder="1" applyAlignment="1">
      <alignment horizontal="center" vertical="center" wrapText="1"/>
    </xf>
    <xf numFmtId="170" fontId="24" fillId="37" borderId="12" xfId="0" applyNumberFormat="1" applyFont="1" applyFill="1" applyBorder="1" applyAlignment="1">
      <alignment horizontal="center" vertical="center" wrapText="1"/>
    </xf>
    <xf numFmtId="170" fontId="32" fillId="0" borderId="12" xfId="52" applyNumberFormat="1" applyFont="1" applyFill="1" applyBorder="1" applyAlignment="1">
      <alignment horizontal="center" vertical="center" wrapText="1"/>
    </xf>
    <xf numFmtId="170" fontId="24" fillId="0" borderId="12" xfId="52" applyNumberFormat="1" applyFont="1" applyFill="1" applyBorder="1" applyAlignment="1">
      <alignment horizontal="center" vertical="center" wrapText="1"/>
    </xf>
    <xf numFmtId="170" fontId="32" fillId="0" borderId="12" xfId="0" applyNumberFormat="1" applyFont="1" applyBorder="1" applyAlignment="1">
      <alignment vertical="center" wrapText="1"/>
    </xf>
    <xf numFmtId="170" fontId="24" fillId="0" borderId="12" xfId="0" applyNumberFormat="1" applyFont="1" applyBorder="1" applyAlignment="1">
      <alignment vertical="center" wrapText="1"/>
    </xf>
    <xf numFmtId="170" fontId="24" fillId="36" borderId="12" xfId="0" applyNumberFormat="1" applyFont="1" applyFill="1" applyBorder="1" applyAlignment="1">
      <alignment vertical="center" wrapText="1"/>
    </xf>
    <xf numFmtId="170" fontId="32" fillId="0" borderId="12" xfId="52" applyNumberFormat="1" applyFont="1" applyBorder="1" applyAlignment="1">
      <alignment horizontal="center"/>
    </xf>
    <xf numFmtId="170" fontId="24" fillId="38" borderId="12" xfId="0" applyNumberFormat="1" applyFont="1" applyFill="1" applyBorder="1" applyAlignment="1">
      <alignment horizontal="center"/>
    </xf>
    <xf numFmtId="4" fontId="31" fillId="0" borderId="12" xfId="52" applyNumberFormat="1" applyFont="1" applyFill="1" applyBorder="1" applyAlignment="1">
      <alignment horizontal="center"/>
    </xf>
    <xf numFmtId="4" fontId="30" fillId="42" borderId="12" xfId="0" applyNumberFormat="1" applyFont="1" applyFill="1" applyBorder="1" applyAlignment="1">
      <alignment horizontal="center"/>
    </xf>
    <xf numFmtId="4" fontId="39" fillId="37" borderId="12" xfId="0" applyNumberFormat="1" applyFont="1" applyFill="1" applyBorder="1" applyAlignment="1">
      <alignment horizontal="center"/>
    </xf>
    <xf numFmtId="164" fontId="25" fillId="0" borderId="0" xfId="52" applyFont="1"/>
    <xf numFmtId="0" fontId="30" fillId="41" borderId="1" xfId="0" applyFont="1" applyFill="1" applyBorder="1" applyAlignment="1">
      <alignment horizontal="center" vertical="center"/>
    </xf>
    <xf numFmtId="0" fontId="30" fillId="41" borderId="16" xfId="0" applyFont="1" applyFill="1" applyBorder="1" applyAlignment="1">
      <alignment horizontal="center" vertical="center"/>
    </xf>
    <xf numFmtId="0" fontId="30" fillId="41" borderId="2" xfId="0" applyFont="1" applyFill="1" applyBorder="1" applyAlignment="1">
      <alignment horizontal="center" vertical="center"/>
    </xf>
    <xf numFmtId="0" fontId="24" fillId="0" borderId="12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/>
    </xf>
    <xf numFmtId="0" fontId="35" fillId="0" borderId="1" xfId="0" applyFont="1" applyBorder="1" applyAlignment="1">
      <alignment horizontal="center" wrapText="1"/>
    </xf>
    <xf numFmtId="0" fontId="35" fillId="0" borderId="16" xfId="0" applyFont="1" applyBorder="1" applyAlignment="1">
      <alignment horizontal="center" wrapText="1"/>
    </xf>
    <xf numFmtId="0" fontId="35" fillId="0" borderId="2" xfId="0" applyFont="1" applyBorder="1" applyAlignment="1">
      <alignment horizontal="center" wrapText="1"/>
    </xf>
    <xf numFmtId="0" fontId="24" fillId="38" borderId="12" xfId="0" applyFont="1" applyFill="1" applyBorder="1" applyAlignment="1">
      <alignment horizontal="center"/>
    </xf>
    <xf numFmtId="0" fontId="30" fillId="36" borderId="1" xfId="0" applyFont="1" applyFill="1" applyBorder="1" applyAlignment="1">
      <alignment horizontal="center" vertical="center"/>
    </xf>
    <xf numFmtId="0" fontId="30" fillId="36" borderId="16" xfId="0" applyFont="1" applyFill="1" applyBorder="1" applyAlignment="1">
      <alignment horizontal="center" vertical="center"/>
    </xf>
    <xf numFmtId="0" fontId="30" fillId="36" borderId="2" xfId="0" applyFont="1" applyFill="1" applyBorder="1" applyAlignment="1">
      <alignment horizontal="center" vertical="center"/>
    </xf>
    <xf numFmtId="0" fontId="24" fillId="35" borderId="0" xfId="0" applyFont="1" applyFill="1" applyBorder="1" applyAlignment="1">
      <alignment horizontal="center" vertical="center"/>
    </xf>
    <xf numFmtId="0" fontId="24" fillId="35" borderId="0" xfId="0" applyFont="1" applyFill="1" applyBorder="1" applyAlignment="1">
      <alignment horizontal="center" vertical="center" wrapText="1"/>
    </xf>
    <xf numFmtId="0" fontId="24" fillId="38" borderId="12" xfId="0" applyFont="1" applyFill="1" applyBorder="1" applyAlignment="1">
      <alignment horizontal="center" vertical="center" wrapText="1"/>
    </xf>
    <xf numFmtId="0" fontId="24" fillId="37" borderId="12" xfId="0" applyFont="1" applyFill="1" applyBorder="1" applyAlignment="1">
      <alignment horizontal="center" vertical="center" wrapText="1"/>
    </xf>
    <xf numFmtId="0" fontId="21" fillId="0" borderId="12" xfId="0" applyFont="1" applyBorder="1" applyAlignment="1">
      <alignment horizontal="center"/>
    </xf>
    <xf numFmtId="0" fontId="33" fillId="2" borderId="12" xfId="0" applyFont="1" applyFill="1" applyBorder="1" applyAlignment="1" applyProtection="1">
      <alignment horizontal="center" vertical="center"/>
    </xf>
    <xf numFmtId="0" fontId="38" fillId="0" borderId="12" xfId="0" applyFont="1" applyBorder="1" applyAlignment="1" applyProtection="1">
      <alignment horizontal="center" vertical="center" wrapText="1"/>
    </xf>
    <xf numFmtId="0" fontId="22" fillId="0" borderId="12" xfId="0" applyFont="1" applyBorder="1" applyAlignment="1" applyProtection="1">
      <alignment horizontal="center" vertical="center" wrapText="1"/>
    </xf>
    <xf numFmtId="0" fontId="33" fillId="0" borderId="12" xfId="0" applyFont="1" applyBorder="1" applyAlignment="1" applyProtection="1">
      <alignment horizontal="center" vertical="center" wrapText="1"/>
    </xf>
    <xf numFmtId="0" fontId="24" fillId="2" borderId="12" xfId="0" applyFont="1" applyFill="1" applyBorder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26" fillId="0" borderId="12" xfId="0" applyFont="1" applyBorder="1" applyAlignment="1">
      <alignment horizontal="center"/>
    </xf>
    <xf numFmtId="0" fontId="26" fillId="0" borderId="13" xfId="0" applyFont="1" applyBorder="1" applyAlignment="1">
      <alignment horizontal="center"/>
    </xf>
    <xf numFmtId="0" fontId="26" fillId="0" borderId="14" xfId="0" applyFont="1" applyBorder="1" applyAlignment="1">
      <alignment horizontal="center"/>
    </xf>
    <xf numFmtId="0" fontId="26" fillId="0" borderId="15" xfId="0" applyFont="1" applyBorder="1" applyAlignment="1">
      <alignment horizontal="center"/>
    </xf>
    <xf numFmtId="0" fontId="22" fillId="0" borderId="13" xfId="0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0" fontId="37" fillId="0" borderId="13" xfId="0" applyFont="1" applyBorder="1" applyAlignment="1">
      <alignment horizontal="center" vertical="center"/>
    </xf>
    <xf numFmtId="0" fontId="37" fillId="0" borderId="15" xfId="0" applyFont="1" applyBorder="1" applyAlignment="1">
      <alignment horizontal="center" vertical="center"/>
    </xf>
    <xf numFmtId="0" fontId="30" fillId="42" borderId="12" xfId="0" applyFont="1" applyFill="1" applyBorder="1" applyAlignment="1">
      <alignment horizontal="center"/>
    </xf>
    <xf numFmtId="0" fontId="30" fillId="41" borderId="1" xfId="0" applyFont="1" applyFill="1" applyBorder="1" applyAlignment="1">
      <alignment horizontal="center"/>
    </xf>
    <xf numFmtId="0" fontId="30" fillId="41" borderId="16" xfId="0" applyFont="1" applyFill="1" applyBorder="1" applyAlignment="1">
      <alignment horizontal="center"/>
    </xf>
    <xf numFmtId="0" fontId="30" fillId="41" borderId="2" xfId="0" applyFont="1" applyFill="1" applyBorder="1" applyAlignment="1">
      <alignment horizontal="center"/>
    </xf>
    <xf numFmtId="0" fontId="31" fillId="0" borderId="12" xfId="0" applyFont="1" applyFill="1" applyBorder="1" applyAlignment="1">
      <alignment horizontal="center" vertical="center" wrapText="1"/>
    </xf>
    <xf numFmtId="164" fontId="29" fillId="0" borderId="0" xfId="52" applyFont="1"/>
  </cellXfs>
  <cellStyles count="53">
    <cellStyle name="20% - Ênfase1" xfId="23" builtinId="30" customBuiltin="1"/>
    <cellStyle name="20% - Ênfase2" xfId="27" builtinId="34" customBuiltin="1"/>
    <cellStyle name="20% - Ênfase3" xfId="31" builtinId="38" customBuiltin="1"/>
    <cellStyle name="20% - Ênfase4" xfId="35" builtinId="42" customBuiltin="1"/>
    <cellStyle name="20% - Ênfase5" xfId="39" builtinId="46" customBuiltin="1"/>
    <cellStyle name="20% - Ênfase6" xfId="43" builtinId="50" customBuiltin="1"/>
    <cellStyle name="40% - Ênfase1" xfId="24" builtinId="31" customBuiltin="1"/>
    <cellStyle name="40% - Ênfase2" xfId="28" builtinId="35" customBuiltin="1"/>
    <cellStyle name="40% - Ênfase3" xfId="32" builtinId="39" customBuiltin="1"/>
    <cellStyle name="40% - Ênfase4" xfId="36" builtinId="43" customBuiltin="1"/>
    <cellStyle name="40% - Ênfase5" xfId="40" builtinId="47" customBuiltin="1"/>
    <cellStyle name="40% - Ênfase6" xfId="44" builtinId="51" customBuiltin="1"/>
    <cellStyle name="60% - Ênfase1" xfId="25" builtinId="32" customBuiltin="1"/>
    <cellStyle name="60% - Ênfase2" xfId="29" builtinId="36" customBuiltin="1"/>
    <cellStyle name="60% - Ênfase3" xfId="33" builtinId="40" customBuiltin="1"/>
    <cellStyle name="60% - Ênfase4" xfId="37" builtinId="44" customBuiltin="1"/>
    <cellStyle name="60% - Ênfase5" xfId="41" builtinId="48" customBuiltin="1"/>
    <cellStyle name="60% - Ênfase6" xfId="45" builtinId="52" customBuiltin="1"/>
    <cellStyle name="Bom" xfId="10" builtinId="26" customBuiltin="1"/>
    <cellStyle name="Cálculo" xfId="15" builtinId="22" customBuiltin="1"/>
    <cellStyle name="Célula de Verificação" xfId="17" builtinId="23" customBuiltin="1"/>
    <cellStyle name="Célula Vinculada" xfId="16" builtinId="24" customBuiltin="1"/>
    <cellStyle name="Ênfase1" xfId="22" builtinId="29" customBuiltin="1"/>
    <cellStyle name="Ênfase2" xfId="26" builtinId="33" customBuiltin="1"/>
    <cellStyle name="Ênfase3" xfId="30" builtinId="37" customBuiltin="1"/>
    <cellStyle name="Ênfase4" xfId="34" builtinId="41" customBuiltin="1"/>
    <cellStyle name="Ênfase5" xfId="38" builtinId="45" customBuiltin="1"/>
    <cellStyle name="Ênfase6" xfId="42" builtinId="49" customBuiltin="1"/>
    <cellStyle name="Entrada" xfId="13" builtinId="20" customBuiltin="1"/>
    <cellStyle name="Moeda" xfId="52" builtinId="4"/>
    <cellStyle name="Neutro" xfId="12" builtinId="28" customBuiltin="1"/>
    <cellStyle name="Normal" xfId="0" builtinId="0"/>
    <cellStyle name="Normal 2" xfId="47" xr:uid="{00000000-0005-0000-0000-000021000000}"/>
    <cellStyle name="Nota" xfId="19" builtinId="10" customBuiltin="1"/>
    <cellStyle name="Porcentagem" xfId="1" builtinId="5"/>
    <cellStyle name="Ruim" xfId="11" builtinId="27" customBuiltin="1"/>
    <cellStyle name="Saída" xfId="14" builtinId="21" customBuiltin="1"/>
    <cellStyle name="Texto de Aviso" xfId="18" builtinId="11" customBuiltin="1"/>
    <cellStyle name="Texto Explicativo" xfId="20" builtinId="53" customBuiltin="1"/>
    <cellStyle name="Título" xfId="5" builtinId="15" customBuiltin="1"/>
    <cellStyle name="Título 1" xfId="6" builtinId="16" customBuiltin="1"/>
    <cellStyle name="Título 2" xfId="7" builtinId="17" customBuiltin="1"/>
    <cellStyle name="Título 3" xfId="8" builtinId="18" customBuiltin="1"/>
    <cellStyle name="Título 4" xfId="9" builtinId="19" customBuiltin="1"/>
    <cellStyle name="Total" xfId="21" builtinId="25" customBuiltin="1"/>
    <cellStyle name="Vírgula 2" xfId="2" xr:uid="{00000000-0005-0000-0000-00002D000000}"/>
    <cellStyle name="Vírgula 3" xfId="4" xr:uid="{00000000-0005-0000-0000-00002E000000}"/>
    <cellStyle name="Vírgula 3 2" xfId="50" xr:uid="{00000000-0005-0000-0000-00002F000000}"/>
    <cellStyle name="Vírgula 4" xfId="3" xr:uid="{00000000-0005-0000-0000-000030000000}"/>
    <cellStyle name="Vírgula 4 2" xfId="49" xr:uid="{00000000-0005-0000-0000-000031000000}"/>
    <cellStyle name="Vírgula 5" xfId="46" xr:uid="{00000000-0005-0000-0000-000032000000}"/>
    <cellStyle name="Vírgula 5 2" xfId="51" xr:uid="{00000000-0005-0000-0000-000033000000}"/>
    <cellStyle name="Vírgula 6" xfId="48" xr:uid="{00000000-0005-0000-0000-000034000000}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C6278C-F429-4968-BC5D-835ACEBF166B}">
  <sheetPr>
    <pageSetUpPr fitToPage="1"/>
  </sheetPr>
  <dimension ref="A1:F171"/>
  <sheetViews>
    <sheetView showGridLines="0" topLeftCell="A58" zoomScale="115" zoomScaleNormal="115" workbookViewId="0">
      <selection activeCell="E81" sqref="E81"/>
    </sheetView>
  </sheetViews>
  <sheetFormatPr defaultColWidth="9.15234375" defaultRowHeight="12.9" x14ac:dyDescent="0.35"/>
  <cols>
    <col min="1" max="1" width="9.15234375" style="14"/>
    <col min="2" max="2" width="72.15234375" style="14" customWidth="1"/>
    <col min="3" max="3" width="27.69140625" style="14" customWidth="1"/>
    <col min="4" max="4" width="15.3046875" style="14" bestFit="1" customWidth="1"/>
    <col min="5" max="5" width="14.69140625" style="14" customWidth="1"/>
    <col min="6" max="6" width="12" style="14" customWidth="1"/>
    <col min="7" max="7" width="15.15234375" style="14" customWidth="1"/>
    <col min="8" max="16384" width="9.15234375" style="14"/>
  </cols>
  <sheetData>
    <row r="1" spans="1:3" x14ac:dyDescent="0.35">
      <c r="A1" s="142" t="s">
        <v>107</v>
      </c>
      <c r="B1" s="142"/>
      <c r="C1" s="142"/>
    </row>
    <row r="2" spans="1:3" x14ac:dyDescent="0.35">
      <c r="A2" s="143" t="s">
        <v>200</v>
      </c>
      <c r="B2" s="143"/>
      <c r="C2" s="143"/>
    </row>
    <row r="3" spans="1:3" x14ac:dyDescent="0.35">
      <c r="A3" s="74"/>
      <c r="B3" s="74"/>
      <c r="C3" s="74"/>
    </row>
    <row r="4" spans="1:3" ht="12.9" customHeight="1" x14ac:dyDescent="0.35">
      <c r="A4" s="144" t="s">
        <v>201</v>
      </c>
      <c r="B4" s="144"/>
      <c r="C4" s="144"/>
    </row>
    <row r="5" spans="1:3" x14ac:dyDescent="0.35">
      <c r="A5" s="145" t="s">
        <v>154</v>
      </c>
      <c r="B5" s="145"/>
      <c r="C5" s="145"/>
    </row>
    <row r="6" spans="1:3" x14ac:dyDescent="0.35">
      <c r="A6" s="146" t="s">
        <v>157</v>
      </c>
      <c r="B6" s="146"/>
      <c r="C6" s="146"/>
    </row>
    <row r="10" spans="1:3" x14ac:dyDescent="0.35">
      <c r="A10" s="147" t="s">
        <v>108</v>
      </c>
      <c r="B10" s="147"/>
      <c r="C10" s="147"/>
    </row>
    <row r="11" spans="1:3" x14ac:dyDescent="0.35">
      <c r="A11" s="30" t="s">
        <v>14</v>
      </c>
      <c r="B11" s="29" t="s">
        <v>109</v>
      </c>
      <c r="C11" s="16" t="s">
        <v>110</v>
      </c>
    </row>
    <row r="12" spans="1:3" x14ac:dyDescent="0.35">
      <c r="A12" s="30" t="s">
        <v>15</v>
      </c>
      <c r="B12" s="29" t="s">
        <v>111</v>
      </c>
      <c r="C12" s="17" t="s">
        <v>195</v>
      </c>
    </row>
    <row r="13" spans="1:3" ht="15.65" customHeight="1" x14ac:dyDescent="0.35">
      <c r="A13" s="30" t="s">
        <v>16</v>
      </c>
      <c r="B13" s="29" t="s">
        <v>112</v>
      </c>
      <c r="C13" s="94" t="s">
        <v>156</v>
      </c>
    </row>
    <row r="14" spans="1:3" x14ac:dyDescent="0.35">
      <c r="A14" s="30" t="s">
        <v>17</v>
      </c>
      <c r="B14" s="29" t="s">
        <v>113</v>
      </c>
      <c r="C14" s="18">
        <v>12</v>
      </c>
    </row>
    <row r="17" spans="1:3" ht="15" customHeight="1" x14ac:dyDescent="0.35">
      <c r="A17" s="147" t="s">
        <v>128</v>
      </c>
      <c r="B17" s="147"/>
      <c r="C17" s="147"/>
    </row>
    <row r="18" spans="1:3" ht="25.75" x14ac:dyDescent="0.35">
      <c r="A18" s="30">
        <v>1</v>
      </c>
      <c r="B18" s="28" t="s">
        <v>114</v>
      </c>
      <c r="C18" s="100" t="s">
        <v>115</v>
      </c>
    </row>
    <row r="19" spans="1:3" ht="15" customHeight="1" x14ac:dyDescent="0.35">
      <c r="A19" s="30">
        <v>2</v>
      </c>
      <c r="B19" s="27" t="s">
        <v>116</v>
      </c>
      <c r="C19" s="19" t="s">
        <v>117</v>
      </c>
    </row>
    <row r="20" spans="1:3" ht="15" customHeight="1" x14ac:dyDescent="0.35">
      <c r="A20" s="30">
        <v>3</v>
      </c>
      <c r="B20" s="27" t="s">
        <v>118</v>
      </c>
      <c r="C20" s="105">
        <v>1</v>
      </c>
    </row>
    <row r="21" spans="1:3" ht="15" customHeight="1" x14ac:dyDescent="0.35">
      <c r="A21" s="30">
        <v>4</v>
      </c>
      <c r="B21" s="15" t="s">
        <v>119</v>
      </c>
      <c r="C21" s="21" t="s">
        <v>120</v>
      </c>
    </row>
    <row r="23" spans="1:3" ht="15" customHeight="1" x14ac:dyDescent="0.35"/>
    <row r="24" spans="1:3" ht="15" customHeight="1" x14ac:dyDescent="0.35">
      <c r="A24" s="147" t="s">
        <v>121</v>
      </c>
      <c r="B24" s="147"/>
      <c r="C24" s="147"/>
    </row>
    <row r="25" spans="1:3" ht="15" customHeight="1" x14ac:dyDescent="0.35">
      <c r="A25" s="30">
        <v>1</v>
      </c>
      <c r="B25" s="22" t="s">
        <v>122</v>
      </c>
      <c r="C25" s="23" t="s">
        <v>123</v>
      </c>
    </row>
    <row r="26" spans="1:3" ht="15" customHeight="1" x14ac:dyDescent="0.35">
      <c r="A26" s="30">
        <v>2</v>
      </c>
      <c r="B26" s="22" t="s">
        <v>124</v>
      </c>
      <c r="C26" s="24" t="s">
        <v>125</v>
      </c>
    </row>
    <row r="27" spans="1:3" ht="15" customHeight="1" x14ac:dyDescent="0.35">
      <c r="A27" s="30">
        <v>3</v>
      </c>
      <c r="B27" s="25" t="s">
        <v>155</v>
      </c>
      <c r="C27" s="41">
        <v>1449.96</v>
      </c>
    </row>
    <row r="28" spans="1:3" ht="15" customHeight="1" x14ac:dyDescent="0.35">
      <c r="A28" s="30">
        <v>4</v>
      </c>
      <c r="B28" s="22" t="s">
        <v>126</v>
      </c>
      <c r="C28" s="21" t="s">
        <v>120</v>
      </c>
    </row>
    <row r="29" spans="1:3" ht="15" customHeight="1" x14ac:dyDescent="0.35">
      <c r="A29" s="30">
        <v>5</v>
      </c>
      <c r="B29" s="22" t="s">
        <v>127</v>
      </c>
      <c r="C29" s="26">
        <v>44562</v>
      </c>
    </row>
    <row r="31" spans="1:3" ht="13.3" thickBot="1" x14ac:dyDescent="0.4"/>
    <row r="32" spans="1:3" ht="16.3" thickBot="1" x14ac:dyDescent="0.4">
      <c r="A32" s="135" t="s">
        <v>11</v>
      </c>
      <c r="B32" s="136"/>
      <c r="C32" s="137"/>
    </row>
    <row r="34" spans="1:3" x14ac:dyDescent="0.35">
      <c r="A34" s="101">
        <v>1</v>
      </c>
      <c r="B34" s="101" t="s">
        <v>12</v>
      </c>
      <c r="C34" s="101" t="s">
        <v>13</v>
      </c>
    </row>
    <row r="35" spans="1:3" x14ac:dyDescent="0.35">
      <c r="A35" s="30" t="s">
        <v>14</v>
      </c>
      <c r="B35" s="45" t="s">
        <v>159</v>
      </c>
      <c r="C35" s="56">
        <f>C27</f>
        <v>1449.96</v>
      </c>
    </row>
    <row r="36" spans="1:3" x14ac:dyDescent="0.35">
      <c r="A36" s="30" t="s">
        <v>15</v>
      </c>
      <c r="B36" s="45" t="s">
        <v>160</v>
      </c>
      <c r="C36" s="56">
        <f>C35*30%</f>
        <v>434.988</v>
      </c>
    </row>
    <row r="37" spans="1:3" x14ac:dyDescent="0.35">
      <c r="A37" s="30" t="s">
        <v>17</v>
      </c>
      <c r="B37" s="52" t="s">
        <v>161</v>
      </c>
      <c r="C37" s="69">
        <f>(C35+C36)*58.33%*20%</f>
        <v>219.89803368</v>
      </c>
    </row>
    <row r="38" spans="1:3" x14ac:dyDescent="0.35">
      <c r="A38" s="30" t="s">
        <v>18</v>
      </c>
      <c r="B38" s="52" t="s">
        <v>129</v>
      </c>
      <c r="C38" s="69">
        <f>(C35+C36)*8.33%*1.2</f>
        <v>188.41940208</v>
      </c>
    </row>
    <row r="39" spans="1:3" x14ac:dyDescent="0.35">
      <c r="A39" s="30" t="s">
        <v>20</v>
      </c>
      <c r="B39" s="45" t="s">
        <v>22</v>
      </c>
      <c r="C39" s="56">
        <v>0</v>
      </c>
    </row>
    <row r="40" spans="1:3" x14ac:dyDescent="0.35">
      <c r="A40" s="129" t="s">
        <v>1</v>
      </c>
      <c r="B40" s="129"/>
      <c r="C40" s="57">
        <f>SUM(C35:C39)</f>
        <v>2293.2654357599999</v>
      </c>
    </row>
    <row r="42" spans="1:3" ht="13.3" thickBot="1" x14ac:dyDescent="0.4"/>
    <row r="43" spans="1:3" ht="16.3" thickBot="1" x14ac:dyDescent="0.4">
      <c r="A43" s="135" t="s">
        <v>23</v>
      </c>
      <c r="B43" s="136"/>
      <c r="C43" s="137"/>
    </row>
    <row r="44" spans="1:3" x14ac:dyDescent="0.35">
      <c r="A44" s="32"/>
    </row>
    <row r="45" spans="1:3" x14ac:dyDescent="0.35">
      <c r="A45" s="138" t="s">
        <v>24</v>
      </c>
      <c r="B45" s="138"/>
      <c r="C45" s="138"/>
    </row>
    <row r="47" spans="1:3" x14ac:dyDescent="0.35">
      <c r="A47" s="101" t="s">
        <v>25</v>
      </c>
      <c r="B47" s="101" t="s">
        <v>26</v>
      </c>
      <c r="C47" s="101" t="s">
        <v>13</v>
      </c>
    </row>
    <row r="48" spans="1:3" x14ac:dyDescent="0.35">
      <c r="A48" s="30" t="s">
        <v>14</v>
      </c>
      <c r="B48" s="45" t="s">
        <v>27</v>
      </c>
      <c r="C48" s="56">
        <f>C40/12</f>
        <v>191.10545298</v>
      </c>
    </row>
    <row r="49" spans="1:4" x14ac:dyDescent="0.35">
      <c r="A49" s="30" t="s">
        <v>15</v>
      </c>
      <c r="B49" s="45" t="s">
        <v>74</v>
      </c>
      <c r="C49" s="56">
        <f>C40/12</f>
        <v>191.10545298</v>
      </c>
    </row>
    <row r="50" spans="1:4" x14ac:dyDescent="0.35">
      <c r="A50" s="30" t="s">
        <v>16</v>
      </c>
      <c r="B50" s="45" t="s">
        <v>75</v>
      </c>
      <c r="C50" s="56">
        <f>(C40/12)/3</f>
        <v>63.701817659999996</v>
      </c>
    </row>
    <row r="51" spans="1:4" x14ac:dyDescent="0.35">
      <c r="A51" s="129" t="s">
        <v>1</v>
      </c>
      <c r="B51" s="129"/>
      <c r="C51" s="57">
        <f>SUM(C48:C50)</f>
        <v>445.91272362000001</v>
      </c>
    </row>
    <row r="54" spans="1:4" ht="32.25" customHeight="1" x14ac:dyDescent="0.35">
      <c r="A54" s="139" t="s">
        <v>28</v>
      </c>
      <c r="B54" s="139"/>
      <c r="C54" s="139"/>
      <c r="D54" s="139"/>
    </row>
    <row r="56" spans="1:4" x14ac:dyDescent="0.35">
      <c r="A56" s="101" t="s">
        <v>29</v>
      </c>
      <c r="B56" s="101" t="s">
        <v>30</v>
      </c>
      <c r="C56" s="101" t="s">
        <v>31</v>
      </c>
      <c r="D56" s="101" t="s">
        <v>13</v>
      </c>
    </row>
    <row r="57" spans="1:4" x14ac:dyDescent="0.35">
      <c r="A57" s="30" t="s">
        <v>14</v>
      </c>
      <c r="B57" s="45" t="s">
        <v>32</v>
      </c>
      <c r="C57" s="65">
        <v>0.2</v>
      </c>
      <c r="D57" s="56">
        <f>(C40+C51)*C57</f>
        <v>547.83563187600009</v>
      </c>
    </row>
    <row r="58" spans="1:4" x14ac:dyDescent="0.35">
      <c r="A58" s="30" t="s">
        <v>15</v>
      </c>
      <c r="B58" s="45" t="s">
        <v>33</v>
      </c>
      <c r="C58" s="65">
        <v>2.5000000000000001E-2</v>
      </c>
      <c r="D58" s="56">
        <f>(C40+C51)*C58</f>
        <v>68.479453984500012</v>
      </c>
    </row>
    <row r="59" spans="1:4" x14ac:dyDescent="0.35">
      <c r="A59" s="30" t="s">
        <v>16</v>
      </c>
      <c r="B59" s="45" t="s">
        <v>34</v>
      </c>
      <c r="C59" s="66">
        <v>0.03</v>
      </c>
      <c r="D59" s="56">
        <f>(C40+C51)*C59</f>
        <v>82.1753447814</v>
      </c>
    </row>
    <row r="60" spans="1:4" x14ac:dyDescent="0.35">
      <c r="A60" s="30" t="s">
        <v>17</v>
      </c>
      <c r="B60" s="45" t="s">
        <v>35</v>
      </c>
      <c r="C60" s="65">
        <v>1.4999999999999999E-2</v>
      </c>
      <c r="D60" s="56">
        <f>(C40+C51)*C60</f>
        <v>41.0876723907</v>
      </c>
    </row>
    <row r="61" spans="1:4" x14ac:dyDescent="0.35">
      <c r="A61" s="30" t="s">
        <v>18</v>
      </c>
      <c r="B61" s="45" t="s">
        <v>36</v>
      </c>
      <c r="C61" s="65">
        <v>0.01</v>
      </c>
      <c r="D61" s="56">
        <f>(C40+C51)*C61</f>
        <v>27.391781593800001</v>
      </c>
    </row>
    <row r="62" spans="1:4" x14ac:dyDescent="0.35">
      <c r="A62" s="30" t="s">
        <v>20</v>
      </c>
      <c r="B62" s="45" t="s">
        <v>3</v>
      </c>
      <c r="C62" s="65">
        <v>6.0000000000000001E-3</v>
      </c>
      <c r="D62" s="56">
        <f>(C40+C40)*C62</f>
        <v>27.519185229120001</v>
      </c>
    </row>
    <row r="63" spans="1:4" x14ac:dyDescent="0.35">
      <c r="A63" s="30" t="s">
        <v>21</v>
      </c>
      <c r="B63" s="45" t="s">
        <v>4</v>
      </c>
      <c r="C63" s="65">
        <v>2E-3</v>
      </c>
      <c r="D63" s="56">
        <f>(C40+C51)*C63</f>
        <v>5.4783563187600004</v>
      </c>
    </row>
    <row r="64" spans="1:4" x14ac:dyDescent="0.35">
      <c r="A64" s="140" t="s">
        <v>76</v>
      </c>
      <c r="B64" s="140"/>
      <c r="C64" s="67">
        <f>SUM(C57:C63)</f>
        <v>0.28800000000000003</v>
      </c>
      <c r="D64" s="68">
        <f>SUM(D57:D63)</f>
        <v>799.96742617428015</v>
      </c>
    </row>
    <row r="65" spans="1:4" x14ac:dyDescent="0.35">
      <c r="A65" s="30" t="s">
        <v>37</v>
      </c>
      <c r="B65" s="45" t="s">
        <v>5</v>
      </c>
      <c r="C65" s="65">
        <v>0.08</v>
      </c>
      <c r="D65" s="56">
        <f>(C40+C51)*C65</f>
        <v>219.13425275040001</v>
      </c>
    </row>
    <row r="66" spans="1:4" x14ac:dyDescent="0.35">
      <c r="A66" s="129" t="s">
        <v>38</v>
      </c>
      <c r="B66" s="129"/>
      <c r="C66" s="65">
        <f>SUM(C64:C65)</f>
        <v>0.36800000000000005</v>
      </c>
      <c r="D66" s="57">
        <f>SUM(D64:D65)</f>
        <v>1019.1016789246802</v>
      </c>
    </row>
    <row r="69" spans="1:4" x14ac:dyDescent="0.35">
      <c r="A69" s="138" t="s">
        <v>39</v>
      </c>
      <c r="B69" s="138"/>
      <c r="C69" s="138"/>
    </row>
    <row r="71" spans="1:4" x14ac:dyDescent="0.35">
      <c r="A71" s="101" t="s">
        <v>40</v>
      </c>
      <c r="B71" s="101" t="s">
        <v>41</v>
      </c>
      <c r="C71" s="101" t="s">
        <v>13</v>
      </c>
    </row>
    <row r="72" spans="1:4" x14ac:dyDescent="0.35">
      <c r="A72" s="30" t="s">
        <v>14</v>
      </c>
      <c r="B72" s="45" t="s">
        <v>191</v>
      </c>
      <c r="C72" s="56">
        <v>0</v>
      </c>
    </row>
    <row r="73" spans="1:4" x14ac:dyDescent="0.35">
      <c r="A73" s="30" t="s">
        <v>15</v>
      </c>
      <c r="B73" s="45" t="s">
        <v>204</v>
      </c>
      <c r="C73" s="56">
        <f>(23.13*15)-(23.13*15*2%)</f>
        <v>340.01099999999997</v>
      </c>
    </row>
    <row r="74" spans="1:4" x14ac:dyDescent="0.35">
      <c r="A74" s="30" t="s">
        <v>16</v>
      </c>
      <c r="B74" s="45" t="s">
        <v>162</v>
      </c>
      <c r="C74" s="56">
        <v>45</v>
      </c>
    </row>
    <row r="75" spans="1:4" x14ac:dyDescent="0.35">
      <c r="A75" s="30" t="s">
        <v>17</v>
      </c>
      <c r="B75" s="1" t="s">
        <v>77</v>
      </c>
      <c r="C75" s="56"/>
    </row>
    <row r="76" spans="1:4" x14ac:dyDescent="0.35">
      <c r="A76" s="129" t="s">
        <v>1</v>
      </c>
      <c r="B76" s="129"/>
      <c r="C76" s="57">
        <f>SUM(C72:C75)</f>
        <v>385.01099999999997</v>
      </c>
    </row>
    <row r="79" spans="1:4" x14ac:dyDescent="0.35">
      <c r="A79" s="138" t="s">
        <v>42</v>
      </c>
      <c r="B79" s="138"/>
      <c r="C79" s="138"/>
    </row>
    <row r="81" spans="1:4" x14ac:dyDescent="0.35">
      <c r="A81" s="101">
        <v>2</v>
      </c>
      <c r="B81" s="101" t="s">
        <v>43</v>
      </c>
      <c r="C81" s="101" t="s">
        <v>13</v>
      </c>
    </row>
    <row r="82" spans="1:4" x14ac:dyDescent="0.35">
      <c r="A82" s="30" t="s">
        <v>25</v>
      </c>
      <c r="B82" s="45" t="s">
        <v>26</v>
      </c>
      <c r="C82" s="47">
        <f>C51</f>
        <v>445.91272362000001</v>
      </c>
    </row>
    <row r="83" spans="1:4" x14ac:dyDescent="0.35">
      <c r="A83" s="30" t="s">
        <v>29</v>
      </c>
      <c r="B83" s="45" t="s">
        <v>30</v>
      </c>
      <c r="C83" s="47">
        <f>D66</f>
        <v>1019.1016789246802</v>
      </c>
    </row>
    <row r="84" spans="1:4" x14ac:dyDescent="0.35">
      <c r="A84" s="30" t="s">
        <v>40</v>
      </c>
      <c r="B84" s="45" t="s">
        <v>41</v>
      </c>
      <c r="C84" s="47">
        <f>C76</f>
        <v>385.01099999999997</v>
      </c>
    </row>
    <row r="85" spans="1:4" x14ac:dyDescent="0.35">
      <c r="A85" s="129" t="s">
        <v>1</v>
      </c>
      <c r="B85" s="129"/>
      <c r="C85" s="50">
        <f>SUM(C82:C84)</f>
        <v>1850.0254025446802</v>
      </c>
    </row>
    <row r="86" spans="1:4" x14ac:dyDescent="0.35">
      <c r="A86" s="33"/>
    </row>
    <row r="87" spans="1:4" ht="13.3" thickBot="1" x14ac:dyDescent="0.4"/>
    <row r="88" spans="1:4" ht="16.3" thickBot="1" x14ac:dyDescent="0.4">
      <c r="A88" s="135" t="s">
        <v>44</v>
      </c>
      <c r="B88" s="136"/>
      <c r="C88" s="137"/>
    </row>
    <row r="90" spans="1:4" x14ac:dyDescent="0.35">
      <c r="A90" s="101">
        <v>3</v>
      </c>
      <c r="B90" s="101" t="s">
        <v>45</v>
      </c>
      <c r="C90" s="101" t="s">
        <v>13</v>
      </c>
    </row>
    <row r="91" spans="1:4" x14ac:dyDescent="0.35">
      <c r="A91" s="30" t="s">
        <v>14</v>
      </c>
      <c r="B91" s="60" t="s">
        <v>149</v>
      </c>
      <c r="C91" s="56">
        <f>(C40+C85-D64)/12</f>
        <v>278.61028434419995</v>
      </c>
      <c r="D91" s="34"/>
    </row>
    <row r="92" spans="1:4" x14ac:dyDescent="0.35">
      <c r="A92" s="30" t="s">
        <v>15</v>
      </c>
      <c r="B92" s="60" t="s">
        <v>46</v>
      </c>
      <c r="C92" s="61">
        <f>C91*8%</f>
        <v>22.288822747535995</v>
      </c>
    </row>
    <row r="93" spans="1:4" x14ac:dyDescent="0.35">
      <c r="A93" s="30" t="s">
        <v>16</v>
      </c>
      <c r="B93" s="60" t="s">
        <v>47</v>
      </c>
      <c r="C93" s="61">
        <f>(D65*50%)</f>
        <v>109.5671263752</v>
      </c>
    </row>
    <row r="94" spans="1:4" x14ac:dyDescent="0.35">
      <c r="A94" s="141" t="s">
        <v>78</v>
      </c>
      <c r="B94" s="141"/>
      <c r="C94" s="57">
        <f>(C91+C93)*59.06%</f>
        <v>229.25757877087764</v>
      </c>
    </row>
    <row r="95" spans="1:4" ht="25.75" x14ac:dyDescent="0.35">
      <c r="A95" s="30" t="s">
        <v>17</v>
      </c>
      <c r="B95" s="62" t="s">
        <v>150</v>
      </c>
      <c r="C95" s="61">
        <f>(C40+C85)/12</f>
        <v>345.27423652538999</v>
      </c>
    </row>
    <row r="96" spans="1:4" x14ac:dyDescent="0.35">
      <c r="A96" s="30" t="s">
        <v>18</v>
      </c>
      <c r="B96" s="60" t="s">
        <v>48</v>
      </c>
      <c r="C96" s="56">
        <f>(C95*C66)</f>
        <v>127.06091904134354</v>
      </c>
    </row>
    <row r="97" spans="1:4" x14ac:dyDescent="0.35">
      <c r="A97" s="30" t="s">
        <v>20</v>
      </c>
      <c r="B97" s="60" t="s">
        <v>49</v>
      </c>
      <c r="C97" s="56">
        <f>C93</f>
        <v>109.5671263752</v>
      </c>
    </row>
    <row r="98" spans="1:4" x14ac:dyDescent="0.35">
      <c r="A98" s="141" t="s">
        <v>79</v>
      </c>
      <c r="B98" s="141"/>
      <c r="C98" s="57">
        <f>(C95+C97)*6.56%</f>
        <v>29.8375934062787</v>
      </c>
    </row>
    <row r="99" spans="1:4" x14ac:dyDescent="0.35">
      <c r="A99" s="129" t="s">
        <v>80</v>
      </c>
      <c r="B99" s="129"/>
      <c r="C99" s="63">
        <f>C51*4.51%</f>
        <v>20.110663835262002</v>
      </c>
    </row>
    <row r="100" spans="1:4" x14ac:dyDescent="0.35">
      <c r="A100" s="134" t="s">
        <v>81</v>
      </c>
      <c r="B100" s="134"/>
      <c r="C100" s="64">
        <f>(C94+C98)-C99</f>
        <v>238.9845083418943</v>
      </c>
    </row>
    <row r="102" spans="1:4" ht="13.3" thickBot="1" x14ac:dyDescent="0.4"/>
    <row r="103" spans="1:4" ht="16.3" thickBot="1" x14ac:dyDescent="0.4">
      <c r="A103" s="135" t="s">
        <v>50</v>
      </c>
      <c r="B103" s="136"/>
      <c r="C103" s="137"/>
    </row>
    <row r="105" spans="1:4" x14ac:dyDescent="0.35">
      <c r="A105" s="138" t="s">
        <v>51</v>
      </c>
      <c r="B105" s="138"/>
      <c r="C105" s="138"/>
    </row>
    <row r="106" spans="1:4" x14ac:dyDescent="0.35">
      <c r="A106" s="32"/>
    </row>
    <row r="107" spans="1:4" x14ac:dyDescent="0.35">
      <c r="A107" s="101" t="s">
        <v>52</v>
      </c>
      <c r="B107" s="101" t="s">
        <v>53</v>
      </c>
      <c r="C107" s="101" t="s">
        <v>13</v>
      </c>
    </row>
    <row r="108" spans="1:4" x14ac:dyDescent="0.35">
      <c r="A108" s="30" t="s">
        <v>14</v>
      </c>
      <c r="B108" s="45" t="s">
        <v>2</v>
      </c>
      <c r="C108" s="59"/>
    </row>
    <row r="109" spans="1:4" x14ac:dyDescent="0.35">
      <c r="A109" s="30" t="s">
        <v>15</v>
      </c>
      <c r="B109" s="45" t="s">
        <v>130</v>
      </c>
      <c r="C109" s="47">
        <f>(C100+C85+C40)/30*21.3562/12</f>
        <v>259.96874655014886</v>
      </c>
      <c r="D109" s="37"/>
    </row>
    <row r="110" spans="1:4" x14ac:dyDescent="0.35">
      <c r="A110" s="30" t="s">
        <v>16</v>
      </c>
      <c r="B110" s="45" t="s">
        <v>54</v>
      </c>
      <c r="C110" s="47"/>
    </row>
    <row r="111" spans="1:4" x14ac:dyDescent="0.35">
      <c r="A111" s="30" t="s">
        <v>17</v>
      </c>
      <c r="B111" s="45" t="s">
        <v>55</v>
      </c>
      <c r="C111" s="47"/>
    </row>
    <row r="112" spans="1:4" x14ac:dyDescent="0.35">
      <c r="A112" s="30" t="s">
        <v>18</v>
      </c>
      <c r="B112" s="45" t="s">
        <v>56</v>
      </c>
      <c r="C112" s="47"/>
    </row>
    <row r="113" spans="1:3" x14ac:dyDescent="0.35">
      <c r="A113" s="30" t="s">
        <v>20</v>
      </c>
      <c r="B113" s="45" t="s">
        <v>22</v>
      </c>
      <c r="C113" s="30"/>
    </row>
    <row r="114" spans="1:3" x14ac:dyDescent="0.35">
      <c r="A114" s="129" t="s">
        <v>38</v>
      </c>
      <c r="B114" s="129"/>
      <c r="C114" s="50">
        <f>SUM(C108:C113)</f>
        <v>259.96874655014886</v>
      </c>
    </row>
    <row r="117" spans="1:3" x14ac:dyDescent="0.35">
      <c r="A117" s="138" t="s">
        <v>57</v>
      </c>
      <c r="B117" s="138"/>
      <c r="C117" s="138"/>
    </row>
    <row r="118" spans="1:3" x14ac:dyDescent="0.35">
      <c r="A118" s="32"/>
    </row>
    <row r="119" spans="1:3" x14ac:dyDescent="0.35">
      <c r="A119" s="101" t="s">
        <v>58</v>
      </c>
      <c r="B119" s="101" t="s">
        <v>59</v>
      </c>
      <c r="C119" s="101" t="s">
        <v>13</v>
      </c>
    </row>
    <row r="120" spans="1:3" x14ac:dyDescent="0.35">
      <c r="A120" s="30" t="s">
        <v>14</v>
      </c>
      <c r="B120" s="45" t="s">
        <v>166</v>
      </c>
      <c r="C120" s="56">
        <f>(C40+C85+C100)/220*15</f>
        <v>298.79150090772094</v>
      </c>
    </row>
    <row r="121" spans="1:3" x14ac:dyDescent="0.35">
      <c r="A121" s="129" t="s">
        <v>1</v>
      </c>
      <c r="B121" s="129"/>
      <c r="C121" s="57">
        <f>C120</f>
        <v>298.79150090772094</v>
      </c>
    </row>
    <row r="124" spans="1:3" x14ac:dyDescent="0.35">
      <c r="A124" s="138" t="s">
        <v>60</v>
      </c>
      <c r="B124" s="138"/>
      <c r="C124" s="138"/>
    </row>
    <row r="125" spans="1:3" x14ac:dyDescent="0.35">
      <c r="A125" s="32"/>
    </row>
    <row r="126" spans="1:3" x14ac:dyDescent="0.35">
      <c r="A126" s="101">
        <v>4</v>
      </c>
      <c r="B126" s="102" t="s">
        <v>61</v>
      </c>
      <c r="C126" s="101" t="s">
        <v>13</v>
      </c>
    </row>
    <row r="127" spans="1:3" x14ac:dyDescent="0.35">
      <c r="A127" s="30" t="s">
        <v>52</v>
      </c>
      <c r="B127" s="45" t="s">
        <v>53</v>
      </c>
      <c r="C127" s="47">
        <f>C114</f>
        <v>259.96874655014886</v>
      </c>
    </row>
    <row r="128" spans="1:3" x14ac:dyDescent="0.35">
      <c r="A128" s="30" t="s">
        <v>58</v>
      </c>
      <c r="B128" s="45" t="s">
        <v>165</v>
      </c>
      <c r="C128" s="47">
        <f>(C100+C85+C40)/220*15</f>
        <v>298.791500907721</v>
      </c>
    </row>
    <row r="129" spans="1:4" x14ac:dyDescent="0.35">
      <c r="A129" s="129" t="s">
        <v>1</v>
      </c>
      <c r="B129" s="129"/>
      <c r="C129" s="50">
        <f>SUM(C127:C128)</f>
        <v>558.76024745786981</v>
      </c>
    </row>
    <row r="131" spans="1:4" ht="13.3" thickBot="1" x14ac:dyDescent="0.4"/>
    <row r="132" spans="1:4" ht="16.3" thickBot="1" x14ac:dyDescent="0.4">
      <c r="A132" s="135" t="s">
        <v>62</v>
      </c>
      <c r="B132" s="136"/>
      <c r="C132" s="137"/>
    </row>
    <row r="134" spans="1:4" x14ac:dyDescent="0.35">
      <c r="A134" s="101">
        <v>5</v>
      </c>
      <c r="B134" s="44" t="s">
        <v>6</v>
      </c>
      <c r="C134" s="101" t="s">
        <v>13</v>
      </c>
    </row>
    <row r="135" spans="1:4" x14ac:dyDescent="0.35">
      <c r="A135" s="30" t="s">
        <v>14</v>
      </c>
      <c r="B135" s="45" t="s">
        <v>63</v>
      </c>
      <c r="C135" s="56">
        <f>INSUMOS!E12</f>
        <v>106.48583333333336</v>
      </c>
    </row>
    <row r="136" spans="1:4" x14ac:dyDescent="0.35">
      <c r="A136" s="30" t="s">
        <v>15</v>
      </c>
      <c r="B136" s="45" t="s">
        <v>64</v>
      </c>
      <c r="C136" s="56">
        <f>INSUMOS!E26</f>
        <v>35.888333333333328</v>
      </c>
    </row>
    <row r="137" spans="1:4" x14ac:dyDescent="0.35">
      <c r="A137" s="30" t="s">
        <v>16</v>
      </c>
      <c r="B137" s="45" t="s">
        <v>143</v>
      </c>
      <c r="C137" s="56">
        <f>INSUMOS!E43</f>
        <v>68.890708333333336</v>
      </c>
    </row>
    <row r="138" spans="1:4" x14ac:dyDescent="0.35">
      <c r="A138" s="30" t="s">
        <v>17</v>
      </c>
      <c r="B138" s="45" t="s">
        <v>77</v>
      </c>
      <c r="C138" s="56"/>
      <c r="D138" s="38"/>
    </row>
    <row r="139" spans="1:4" x14ac:dyDescent="0.35">
      <c r="A139" s="129" t="s">
        <v>38</v>
      </c>
      <c r="B139" s="129"/>
      <c r="C139" s="57">
        <f>SUM(C135:C138)</f>
        <v>211.26487500000002</v>
      </c>
    </row>
    <row r="141" spans="1:4" ht="13.3" thickBot="1" x14ac:dyDescent="0.4"/>
    <row r="142" spans="1:4" ht="16.3" thickBot="1" x14ac:dyDescent="0.4">
      <c r="A142" s="135" t="s">
        <v>65</v>
      </c>
      <c r="B142" s="136"/>
      <c r="C142" s="136"/>
      <c r="D142" s="137"/>
    </row>
    <row r="144" spans="1:4" x14ac:dyDescent="0.35">
      <c r="A144" s="101">
        <v>6</v>
      </c>
      <c r="B144" s="44" t="s">
        <v>7</v>
      </c>
      <c r="C144" s="101" t="s">
        <v>31</v>
      </c>
      <c r="D144" s="101" t="s">
        <v>13</v>
      </c>
    </row>
    <row r="145" spans="1:6" x14ac:dyDescent="0.35">
      <c r="A145" s="30" t="s">
        <v>14</v>
      </c>
      <c r="B145" s="45" t="s">
        <v>8</v>
      </c>
      <c r="C145" s="46">
        <v>0.06</v>
      </c>
      <c r="D145" s="47">
        <f>(C139+C129+C100+C94+C40)*C145</f>
        <v>211.8919587198385</v>
      </c>
    </row>
    <row r="146" spans="1:6" x14ac:dyDescent="0.35">
      <c r="A146" s="30" t="s">
        <v>15</v>
      </c>
      <c r="B146" s="45" t="s">
        <v>10</v>
      </c>
      <c r="C146" s="46">
        <v>6.7900000000000002E-2</v>
      </c>
      <c r="D146" s="47">
        <f>(C139+C129+C100+C94+C40)*C146</f>
        <v>239.79106661795058</v>
      </c>
    </row>
    <row r="147" spans="1:6" x14ac:dyDescent="0.35">
      <c r="A147" s="30" t="s">
        <v>16</v>
      </c>
      <c r="B147" s="45" t="s">
        <v>9</v>
      </c>
      <c r="C147" s="46"/>
      <c r="D147" s="47"/>
    </row>
    <row r="148" spans="1:6" x14ac:dyDescent="0.35">
      <c r="A148" s="30"/>
      <c r="B148" s="45" t="s">
        <v>72</v>
      </c>
      <c r="C148" s="46">
        <v>6.4999999999999997E-3</v>
      </c>
      <c r="D148" s="47">
        <f>(C139+C129+C100+C85+C40)*C148</f>
        <v>33.489953049178887</v>
      </c>
    </row>
    <row r="149" spans="1:6" x14ac:dyDescent="0.35">
      <c r="A149" s="30"/>
      <c r="B149" s="45" t="s">
        <v>73</v>
      </c>
      <c r="C149" s="46">
        <v>0.03</v>
      </c>
      <c r="D149" s="47">
        <f>(C139+C129+C100+C85+C40)*C149</f>
        <v>154.56901407313333</v>
      </c>
    </row>
    <row r="150" spans="1:6" x14ac:dyDescent="0.35">
      <c r="A150" s="30"/>
      <c r="B150" s="45" t="s">
        <v>66</v>
      </c>
      <c r="C150" s="46"/>
      <c r="D150" s="47"/>
    </row>
    <row r="151" spans="1:6" x14ac:dyDescent="0.35">
      <c r="A151" s="30"/>
      <c r="B151" s="45" t="s">
        <v>189</v>
      </c>
      <c r="C151" s="48">
        <v>0.04</v>
      </c>
      <c r="D151" s="47">
        <f>(C139+C129+C100+C85+C40)*C151</f>
        <v>206.09201876417777</v>
      </c>
    </row>
    <row r="152" spans="1:6" x14ac:dyDescent="0.35">
      <c r="A152" s="30"/>
      <c r="B152" s="45" t="s">
        <v>86</v>
      </c>
      <c r="C152" s="48">
        <v>0.21440000000000001</v>
      </c>
      <c r="D152" s="49">
        <f>(C139+C129+C100+C85+C40)*C152</f>
        <v>1104.6532205759929</v>
      </c>
      <c r="F152" s="37"/>
    </row>
    <row r="153" spans="1:6" x14ac:dyDescent="0.35">
      <c r="A153" s="129" t="s">
        <v>38</v>
      </c>
      <c r="B153" s="129"/>
      <c r="C153" s="46"/>
      <c r="D153" s="50">
        <f>D152</f>
        <v>1104.6532205759929</v>
      </c>
    </row>
    <row r="155" spans="1:6" ht="13.3" thickBot="1" x14ac:dyDescent="0.4"/>
    <row r="156" spans="1:6" ht="16.3" thickBot="1" x14ac:dyDescent="0.4">
      <c r="A156" s="126" t="s">
        <v>67</v>
      </c>
      <c r="B156" s="127"/>
      <c r="C156" s="128"/>
    </row>
    <row r="158" spans="1:6" x14ac:dyDescent="0.35">
      <c r="A158" s="101"/>
      <c r="B158" s="101" t="s">
        <v>68</v>
      </c>
      <c r="C158" s="101" t="s">
        <v>13</v>
      </c>
    </row>
    <row r="159" spans="1:6" x14ac:dyDescent="0.35">
      <c r="A159" s="101" t="s">
        <v>14</v>
      </c>
      <c r="B159" s="45" t="s">
        <v>11</v>
      </c>
      <c r="C159" s="51">
        <f>C40</f>
        <v>2293.2654357599999</v>
      </c>
    </row>
    <row r="160" spans="1:6" x14ac:dyDescent="0.35">
      <c r="A160" s="101" t="s">
        <v>15</v>
      </c>
      <c r="B160" s="45" t="s">
        <v>23</v>
      </c>
      <c r="C160" s="51">
        <f>C85</f>
        <v>1850.0254025446802</v>
      </c>
    </row>
    <row r="161" spans="1:4" x14ac:dyDescent="0.35">
      <c r="A161" s="101" t="s">
        <v>16</v>
      </c>
      <c r="B161" s="45" t="s">
        <v>44</v>
      </c>
      <c r="C161" s="51">
        <f>C100</f>
        <v>238.9845083418943</v>
      </c>
    </row>
    <row r="162" spans="1:4" x14ac:dyDescent="0.35">
      <c r="A162" s="101" t="s">
        <v>17</v>
      </c>
      <c r="B162" s="52" t="s">
        <v>50</v>
      </c>
      <c r="C162" s="51">
        <f>C129</f>
        <v>558.76024745786981</v>
      </c>
    </row>
    <row r="163" spans="1:4" x14ac:dyDescent="0.35">
      <c r="A163" s="101" t="s">
        <v>18</v>
      </c>
      <c r="B163" s="45" t="s">
        <v>62</v>
      </c>
      <c r="C163" s="51">
        <f>C139</f>
        <v>211.26487500000002</v>
      </c>
    </row>
    <row r="164" spans="1:4" x14ac:dyDescent="0.35">
      <c r="A164" s="129" t="s">
        <v>69</v>
      </c>
      <c r="B164" s="129"/>
      <c r="C164" s="53">
        <f>SUM(C159:C163)</f>
        <v>5152.3004691044434</v>
      </c>
    </row>
    <row r="165" spans="1:4" x14ac:dyDescent="0.35">
      <c r="A165" s="101" t="s">
        <v>20</v>
      </c>
      <c r="B165" s="45" t="s">
        <v>70</v>
      </c>
      <c r="C165" s="51">
        <f>D153</f>
        <v>1104.6532205759929</v>
      </c>
    </row>
    <row r="166" spans="1:4" x14ac:dyDescent="0.35">
      <c r="A166" s="129" t="s">
        <v>71</v>
      </c>
      <c r="B166" s="129"/>
      <c r="C166" s="54">
        <f>C164+C165</f>
        <v>6256.9536896804366</v>
      </c>
    </row>
    <row r="167" spans="1:4" ht="13.3" thickBot="1" x14ac:dyDescent="0.4">
      <c r="A167" s="130" t="s">
        <v>131</v>
      </c>
      <c r="B167" s="130"/>
      <c r="C167" s="75"/>
      <c r="D167" s="42"/>
    </row>
    <row r="168" spans="1:4" ht="91.3" customHeight="1" thickBot="1" x14ac:dyDescent="0.4">
      <c r="A168" s="131" t="s">
        <v>133</v>
      </c>
      <c r="B168" s="132"/>
      <c r="C168" s="133"/>
    </row>
    <row r="170" spans="1:4" x14ac:dyDescent="0.35">
      <c r="B170" s="37"/>
    </row>
    <row r="171" spans="1:4" x14ac:dyDescent="0.35">
      <c r="B171" s="37"/>
    </row>
  </sheetData>
  <mergeCells count="41">
    <mergeCell ref="A45:C45"/>
    <mergeCell ref="A1:C1"/>
    <mergeCell ref="A2:C2"/>
    <mergeCell ref="A4:C4"/>
    <mergeCell ref="A5:C5"/>
    <mergeCell ref="A6:C6"/>
    <mergeCell ref="A10:C10"/>
    <mergeCell ref="A17:C17"/>
    <mergeCell ref="A24:C24"/>
    <mergeCell ref="A32:C32"/>
    <mergeCell ref="A40:B40"/>
    <mergeCell ref="A43:C43"/>
    <mergeCell ref="A99:B99"/>
    <mergeCell ref="A51:B51"/>
    <mergeCell ref="A54:D54"/>
    <mergeCell ref="A64:B64"/>
    <mergeCell ref="A66:B66"/>
    <mergeCell ref="A69:C69"/>
    <mergeCell ref="A76:B76"/>
    <mergeCell ref="A79:C79"/>
    <mergeCell ref="A85:B85"/>
    <mergeCell ref="A88:C88"/>
    <mergeCell ref="A94:B94"/>
    <mergeCell ref="A98:B98"/>
    <mergeCell ref="A153:B153"/>
    <mergeCell ref="A100:B100"/>
    <mergeCell ref="A103:C103"/>
    <mergeCell ref="A105:C105"/>
    <mergeCell ref="A114:B114"/>
    <mergeCell ref="A117:C117"/>
    <mergeCell ref="A121:B121"/>
    <mergeCell ref="A124:C124"/>
    <mergeCell ref="A129:B129"/>
    <mergeCell ref="A132:C132"/>
    <mergeCell ref="A139:B139"/>
    <mergeCell ref="A142:D142"/>
    <mergeCell ref="A156:C156"/>
    <mergeCell ref="A164:B164"/>
    <mergeCell ref="A166:B166"/>
    <mergeCell ref="A167:B167"/>
    <mergeCell ref="A168:C168"/>
  </mergeCells>
  <pageMargins left="0.511811024" right="0.511811024" top="0.78740157499999996" bottom="0.78740157499999996" header="0.31496062000000002" footer="0.31496062000000002"/>
  <pageSetup paperSize="9" scale="74" fitToHeight="0" orientation="portrait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68"/>
  <sheetViews>
    <sheetView showGridLines="0" topLeftCell="A115" zoomScale="115" zoomScaleNormal="115" workbookViewId="0">
      <selection activeCell="G66" sqref="G66"/>
    </sheetView>
  </sheetViews>
  <sheetFormatPr defaultColWidth="9.15234375" defaultRowHeight="12.9" x14ac:dyDescent="0.35"/>
  <cols>
    <col min="1" max="1" width="9.15234375" style="14"/>
    <col min="2" max="2" width="72.15234375" style="14" customWidth="1"/>
    <col min="3" max="3" width="23.921875" style="14" customWidth="1"/>
    <col min="4" max="4" width="15.3046875" style="14" bestFit="1" customWidth="1"/>
    <col min="5" max="5" width="14.69140625" style="14" customWidth="1"/>
    <col min="6" max="6" width="12" style="14" customWidth="1"/>
    <col min="7" max="7" width="15.15234375" style="14" customWidth="1"/>
    <col min="8" max="16384" width="9.15234375" style="14"/>
  </cols>
  <sheetData>
    <row r="1" spans="1:3" x14ac:dyDescent="0.35">
      <c r="A1" s="142" t="s">
        <v>107</v>
      </c>
      <c r="B1" s="142"/>
      <c r="C1" s="142"/>
    </row>
    <row r="2" spans="1:3" x14ac:dyDescent="0.35">
      <c r="A2" s="143" t="s">
        <v>200</v>
      </c>
      <c r="B2" s="143"/>
      <c r="C2" s="143"/>
    </row>
    <row r="3" spans="1:3" x14ac:dyDescent="0.35">
      <c r="A3" s="74"/>
      <c r="B3" s="74"/>
      <c r="C3" s="74"/>
    </row>
    <row r="4" spans="1:3" ht="12.9" customHeight="1" x14ac:dyDescent="0.35">
      <c r="A4" s="144" t="s">
        <v>201</v>
      </c>
      <c r="B4" s="144"/>
      <c r="C4" s="144"/>
    </row>
    <row r="5" spans="1:3" x14ac:dyDescent="0.35">
      <c r="A5" s="145" t="s">
        <v>154</v>
      </c>
      <c r="B5" s="145"/>
      <c r="C5" s="145"/>
    </row>
    <row r="6" spans="1:3" x14ac:dyDescent="0.35">
      <c r="A6" s="146" t="s">
        <v>157</v>
      </c>
      <c r="B6" s="146"/>
      <c r="C6" s="146"/>
    </row>
    <row r="10" spans="1:3" x14ac:dyDescent="0.35">
      <c r="A10" s="147" t="s">
        <v>108</v>
      </c>
      <c r="B10" s="147"/>
      <c r="C10" s="147"/>
    </row>
    <row r="11" spans="1:3" x14ac:dyDescent="0.35">
      <c r="A11" s="30" t="s">
        <v>14</v>
      </c>
      <c r="B11" s="29" t="s">
        <v>109</v>
      </c>
      <c r="C11" s="16" t="s">
        <v>110</v>
      </c>
    </row>
    <row r="12" spans="1:3" x14ac:dyDescent="0.35">
      <c r="A12" s="30" t="s">
        <v>15</v>
      </c>
      <c r="B12" s="29" t="s">
        <v>111</v>
      </c>
      <c r="C12" s="17" t="s">
        <v>153</v>
      </c>
    </row>
    <row r="13" spans="1:3" ht="15.65" customHeight="1" x14ac:dyDescent="0.35">
      <c r="A13" s="30" t="s">
        <v>16</v>
      </c>
      <c r="B13" s="29" t="s">
        <v>112</v>
      </c>
      <c r="C13" s="39" t="s">
        <v>156</v>
      </c>
    </row>
    <row r="14" spans="1:3" x14ac:dyDescent="0.35">
      <c r="A14" s="30" t="s">
        <v>17</v>
      </c>
      <c r="B14" s="29" t="s">
        <v>113</v>
      </c>
      <c r="C14" s="18">
        <v>12</v>
      </c>
    </row>
    <row r="17" spans="1:3" ht="15" customHeight="1" x14ac:dyDescent="0.35">
      <c r="A17" s="147" t="s">
        <v>128</v>
      </c>
      <c r="B17" s="147"/>
      <c r="C17" s="147"/>
    </row>
    <row r="18" spans="1:3" ht="30.9" customHeight="1" x14ac:dyDescent="0.35">
      <c r="A18" s="30">
        <v>1</v>
      </c>
      <c r="B18" s="70" t="s">
        <v>114</v>
      </c>
      <c r="C18" s="31" t="s">
        <v>158</v>
      </c>
    </row>
    <row r="19" spans="1:3" ht="15" customHeight="1" x14ac:dyDescent="0.35">
      <c r="A19" s="30">
        <v>2</v>
      </c>
      <c r="B19" s="27" t="s">
        <v>116</v>
      </c>
      <c r="C19" s="19" t="s">
        <v>117</v>
      </c>
    </row>
    <row r="20" spans="1:3" ht="15" customHeight="1" x14ac:dyDescent="0.35">
      <c r="A20" s="30">
        <v>3</v>
      </c>
      <c r="B20" s="27" t="s">
        <v>118</v>
      </c>
      <c r="C20" s="20">
        <v>1</v>
      </c>
    </row>
    <row r="21" spans="1:3" ht="15" customHeight="1" x14ac:dyDescent="0.35">
      <c r="A21" s="30">
        <v>4</v>
      </c>
      <c r="B21" s="27" t="s">
        <v>119</v>
      </c>
      <c r="C21" s="21" t="s">
        <v>120</v>
      </c>
    </row>
    <row r="23" spans="1:3" ht="15" customHeight="1" x14ac:dyDescent="0.35"/>
    <row r="24" spans="1:3" ht="15" customHeight="1" x14ac:dyDescent="0.35">
      <c r="A24" s="147" t="s">
        <v>121</v>
      </c>
      <c r="B24" s="147"/>
      <c r="C24" s="147"/>
    </row>
    <row r="25" spans="1:3" ht="15" customHeight="1" x14ac:dyDescent="0.35">
      <c r="A25" s="30">
        <v>1</v>
      </c>
      <c r="B25" s="22" t="s">
        <v>122</v>
      </c>
      <c r="C25" s="23" t="s">
        <v>123</v>
      </c>
    </row>
    <row r="26" spans="1:3" ht="15" customHeight="1" x14ac:dyDescent="0.35">
      <c r="A26" s="30">
        <v>2</v>
      </c>
      <c r="B26" s="22" t="s">
        <v>124</v>
      </c>
      <c r="C26" s="40" t="s">
        <v>125</v>
      </c>
    </row>
    <row r="27" spans="1:3" ht="15" customHeight="1" x14ac:dyDescent="0.35">
      <c r="A27" s="30">
        <v>3</v>
      </c>
      <c r="B27" s="25" t="s">
        <v>155</v>
      </c>
      <c r="C27" s="41">
        <v>1449.96</v>
      </c>
    </row>
    <row r="28" spans="1:3" ht="15" customHeight="1" x14ac:dyDescent="0.35">
      <c r="A28" s="30">
        <v>4</v>
      </c>
      <c r="B28" s="22" t="s">
        <v>126</v>
      </c>
      <c r="C28" s="21" t="s">
        <v>120</v>
      </c>
    </row>
    <row r="29" spans="1:3" ht="15" customHeight="1" x14ac:dyDescent="0.35">
      <c r="A29" s="30">
        <v>5</v>
      </c>
      <c r="B29" s="22" t="s">
        <v>127</v>
      </c>
      <c r="C29" s="26">
        <v>44562</v>
      </c>
    </row>
    <row r="31" spans="1:3" ht="13.3" thickBot="1" x14ac:dyDescent="0.4"/>
    <row r="32" spans="1:3" ht="16.3" thickBot="1" x14ac:dyDescent="0.4">
      <c r="A32" s="135" t="s">
        <v>11</v>
      </c>
      <c r="B32" s="136"/>
      <c r="C32" s="137"/>
    </row>
    <row r="34" spans="1:3" x14ac:dyDescent="0.35">
      <c r="A34" s="43">
        <v>1</v>
      </c>
      <c r="B34" s="43" t="s">
        <v>12</v>
      </c>
      <c r="C34" s="43" t="s">
        <v>13</v>
      </c>
    </row>
    <row r="35" spans="1:3" x14ac:dyDescent="0.35">
      <c r="A35" s="30" t="s">
        <v>14</v>
      </c>
      <c r="B35" s="45" t="s">
        <v>159</v>
      </c>
      <c r="C35" s="56">
        <f>C27</f>
        <v>1449.96</v>
      </c>
    </row>
    <row r="36" spans="1:3" x14ac:dyDescent="0.35">
      <c r="A36" s="30" t="s">
        <v>15</v>
      </c>
      <c r="B36" s="45" t="s">
        <v>203</v>
      </c>
      <c r="C36" s="56">
        <f>C35*30%</f>
        <v>434.988</v>
      </c>
    </row>
    <row r="37" spans="1:3" x14ac:dyDescent="0.35">
      <c r="A37" s="30" t="s">
        <v>17</v>
      </c>
      <c r="B37" s="45" t="s">
        <v>0</v>
      </c>
      <c r="C37" s="56"/>
    </row>
    <row r="38" spans="1:3" x14ac:dyDescent="0.35">
      <c r="A38" s="30" t="s">
        <v>18</v>
      </c>
      <c r="B38" s="45" t="s">
        <v>19</v>
      </c>
      <c r="C38" s="56"/>
    </row>
    <row r="39" spans="1:3" x14ac:dyDescent="0.35">
      <c r="A39" s="30" t="s">
        <v>20</v>
      </c>
      <c r="B39" s="45" t="s">
        <v>22</v>
      </c>
      <c r="C39" s="56"/>
    </row>
    <row r="40" spans="1:3" x14ac:dyDescent="0.35">
      <c r="A40" s="129" t="s">
        <v>1</v>
      </c>
      <c r="B40" s="129"/>
      <c r="C40" s="57">
        <f>SUM(C35:C39)</f>
        <v>1884.9480000000001</v>
      </c>
    </row>
    <row r="43" spans="1:3" x14ac:dyDescent="0.35">
      <c r="A43" s="148" t="s">
        <v>23</v>
      </c>
      <c r="B43" s="148"/>
      <c r="C43" s="148"/>
    </row>
    <row r="44" spans="1:3" x14ac:dyDescent="0.35">
      <c r="A44" s="32"/>
    </row>
    <row r="45" spans="1:3" x14ac:dyDescent="0.35">
      <c r="A45" s="138" t="s">
        <v>24</v>
      </c>
      <c r="B45" s="138"/>
      <c r="C45" s="138"/>
    </row>
    <row r="47" spans="1:3" x14ac:dyDescent="0.35">
      <c r="A47" s="43" t="s">
        <v>25</v>
      </c>
      <c r="B47" s="43" t="s">
        <v>26</v>
      </c>
      <c r="C47" s="43" t="s">
        <v>13</v>
      </c>
    </row>
    <row r="48" spans="1:3" x14ac:dyDescent="0.35">
      <c r="A48" s="30" t="s">
        <v>14</v>
      </c>
      <c r="B48" s="45" t="s">
        <v>27</v>
      </c>
      <c r="C48" s="56">
        <f>C40/12</f>
        <v>157.07900000000001</v>
      </c>
    </row>
    <row r="49" spans="1:4" x14ac:dyDescent="0.35">
      <c r="A49" s="30" t="s">
        <v>15</v>
      </c>
      <c r="B49" s="45" t="s">
        <v>74</v>
      </c>
      <c r="C49" s="56">
        <f>C40/12</f>
        <v>157.07900000000001</v>
      </c>
    </row>
    <row r="50" spans="1:4" x14ac:dyDescent="0.35">
      <c r="A50" s="30" t="s">
        <v>16</v>
      </c>
      <c r="B50" s="45" t="s">
        <v>75</v>
      </c>
      <c r="C50" s="56">
        <f>(C40/12)/3</f>
        <v>52.359666666666669</v>
      </c>
    </row>
    <row r="51" spans="1:4" x14ac:dyDescent="0.35">
      <c r="A51" s="129" t="s">
        <v>1</v>
      </c>
      <c r="B51" s="129"/>
      <c r="C51" s="57">
        <f>SUM(C48:C50)</f>
        <v>366.51766666666668</v>
      </c>
    </row>
    <row r="54" spans="1:4" ht="32.25" customHeight="1" x14ac:dyDescent="0.35">
      <c r="A54" s="139" t="s">
        <v>28</v>
      </c>
      <c r="B54" s="139"/>
      <c r="C54" s="139"/>
      <c r="D54" s="139"/>
    </row>
    <row r="56" spans="1:4" x14ac:dyDescent="0.35">
      <c r="A56" s="43" t="s">
        <v>29</v>
      </c>
      <c r="B56" s="43" t="s">
        <v>30</v>
      </c>
      <c r="C56" s="43" t="s">
        <v>31</v>
      </c>
      <c r="D56" s="43" t="s">
        <v>13</v>
      </c>
    </row>
    <row r="57" spans="1:4" x14ac:dyDescent="0.35">
      <c r="A57" s="30" t="s">
        <v>14</v>
      </c>
      <c r="B57" s="45" t="s">
        <v>32</v>
      </c>
      <c r="C57" s="65">
        <v>0.2</v>
      </c>
      <c r="D57" s="56">
        <f>(C40+C51)*C57</f>
        <v>450.2931333333334</v>
      </c>
    </row>
    <row r="58" spans="1:4" x14ac:dyDescent="0.35">
      <c r="A58" s="30" t="s">
        <v>15</v>
      </c>
      <c r="B58" s="45" t="s">
        <v>33</v>
      </c>
      <c r="C58" s="65">
        <v>2.5000000000000001E-2</v>
      </c>
      <c r="D58" s="56">
        <f>(C40+C51)*C58</f>
        <v>56.286641666666675</v>
      </c>
    </row>
    <row r="59" spans="1:4" x14ac:dyDescent="0.35">
      <c r="A59" s="30" t="s">
        <v>16</v>
      </c>
      <c r="B59" s="45" t="s">
        <v>34</v>
      </c>
      <c r="C59" s="66">
        <v>0.03</v>
      </c>
      <c r="D59" s="56">
        <f>(C40+C51)*C59</f>
        <v>67.543970000000002</v>
      </c>
    </row>
    <row r="60" spans="1:4" x14ac:dyDescent="0.35">
      <c r="A60" s="30" t="s">
        <v>17</v>
      </c>
      <c r="B60" s="45" t="s">
        <v>35</v>
      </c>
      <c r="C60" s="65">
        <v>1.4999999999999999E-2</v>
      </c>
      <c r="D60" s="56">
        <f>(C40+C51)*C60</f>
        <v>33.771985000000001</v>
      </c>
    </row>
    <row r="61" spans="1:4" x14ac:dyDescent="0.35">
      <c r="A61" s="30" t="s">
        <v>18</v>
      </c>
      <c r="B61" s="45" t="s">
        <v>36</v>
      </c>
      <c r="C61" s="65">
        <v>0.01</v>
      </c>
      <c r="D61" s="56">
        <f>(C40+C51)*C61</f>
        <v>22.514656666666671</v>
      </c>
    </row>
    <row r="62" spans="1:4" x14ac:dyDescent="0.35">
      <c r="A62" s="30" t="s">
        <v>20</v>
      </c>
      <c r="B62" s="45" t="s">
        <v>3</v>
      </c>
      <c r="C62" s="65">
        <v>6.0000000000000001E-3</v>
      </c>
      <c r="D62" s="56">
        <f>(C40+C40)*C62</f>
        <v>22.619376000000003</v>
      </c>
    </row>
    <row r="63" spans="1:4" x14ac:dyDescent="0.35">
      <c r="A63" s="30" t="s">
        <v>21</v>
      </c>
      <c r="B63" s="45" t="s">
        <v>4</v>
      </c>
      <c r="C63" s="65">
        <v>2E-3</v>
      </c>
      <c r="D63" s="56">
        <f>(C40+C51)*C63</f>
        <v>4.5029313333333336</v>
      </c>
    </row>
    <row r="64" spans="1:4" x14ac:dyDescent="0.35">
      <c r="A64" s="140" t="s">
        <v>76</v>
      </c>
      <c r="B64" s="140"/>
      <c r="C64" s="67">
        <f>SUM(C57:C63)</f>
        <v>0.28800000000000003</v>
      </c>
      <c r="D64" s="68">
        <f>SUM(D57:D63)</f>
        <v>657.53269400000011</v>
      </c>
    </row>
    <row r="65" spans="1:5" x14ac:dyDescent="0.35">
      <c r="A65" s="30" t="s">
        <v>37</v>
      </c>
      <c r="B65" s="45" t="s">
        <v>5</v>
      </c>
      <c r="C65" s="65">
        <v>0.08</v>
      </c>
      <c r="D65" s="56">
        <f>(C40+C51)*C65</f>
        <v>180.11725333333337</v>
      </c>
    </row>
    <row r="66" spans="1:5" x14ac:dyDescent="0.35">
      <c r="A66" s="129" t="s">
        <v>38</v>
      </c>
      <c r="B66" s="129"/>
      <c r="C66" s="71">
        <f>SUM(C64:C65)</f>
        <v>0.36800000000000005</v>
      </c>
      <c r="D66" s="57">
        <f>SUM(D64:D65)</f>
        <v>837.64994733333344</v>
      </c>
    </row>
    <row r="69" spans="1:5" x14ac:dyDescent="0.35">
      <c r="A69" s="138" t="s">
        <v>39</v>
      </c>
      <c r="B69" s="138"/>
      <c r="C69" s="138"/>
    </row>
    <row r="71" spans="1:5" x14ac:dyDescent="0.35">
      <c r="A71" s="43" t="s">
        <v>40</v>
      </c>
      <c r="B71" s="43" t="s">
        <v>41</v>
      </c>
      <c r="C71" s="43" t="s">
        <v>13</v>
      </c>
    </row>
    <row r="72" spans="1:5" x14ac:dyDescent="0.35">
      <c r="A72" s="30" t="s">
        <v>14</v>
      </c>
      <c r="B72" s="45" t="s">
        <v>163</v>
      </c>
      <c r="C72" s="93">
        <f>(4.95*2*15)-(C35/100)*6</f>
        <v>61.502399999999994</v>
      </c>
      <c r="D72" s="38"/>
      <c r="E72" s="38"/>
    </row>
    <row r="73" spans="1:5" x14ac:dyDescent="0.35">
      <c r="A73" s="30" t="s">
        <v>15</v>
      </c>
      <c r="B73" s="45" t="s">
        <v>204</v>
      </c>
      <c r="C73" s="56">
        <f>(23.13*15)-(23.13*15*2%)</f>
        <v>340.01099999999997</v>
      </c>
      <c r="D73" s="35"/>
    </row>
    <row r="74" spans="1:5" x14ac:dyDescent="0.35">
      <c r="A74" s="30" t="s">
        <v>16</v>
      </c>
      <c r="B74" s="45" t="s">
        <v>162</v>
      </c>
      <c r="C74" s="56">
        <v>45</v>
      </c>
    </row>
    <row r="75" spans="1:5" x14ac:dyDescent="0.35">
      <c r="A75" s="30" t="s">
        <v>17</v>
      </c>
      <c r="B75" s="1" t="s">
        <v>77</v>
      </c>
      <c r="C75" s="56"/>
    </row>
    <row r="76" spans="1:5" x14ac:dyDescent="0.35">
      <c r="A76" s="129" t="s">
        <v>1</v>
      </c>
      <c r="B76" s="129"/>
      <c r="C76" s="57">
        <f>SUM(C72:C75)</f>
        <v>446.51339999999993</v>
      </c>
    </row>
    <row r="79" spans="1:5" x14ac:dyDescent="0.35">
      <c r="A79" s="138" t="s">
        <v>42</v>
      </c>
      <c r="B79" s="138"/>
      <c r="C79" s="138"/>
    </row>
    <row r="81" spans="1:4" x14ac:dyDescent="0.35">
      <c r="A81" s="43">
        <v>2</v>
      </c>
      <c r="B81" s="43" t="s">
        <v>43</v>
      </c>
      <c r="C81" s="43" t="s">
        <v>13</v>
      </c>
    </row>
    <row r="82" spans="1:4" x14ac:dyDescent="0.35">
      <c r="A82" s="30" t="s">
        <v>25</v>
      </c>
      <c r="B82" s="45" t="s">
        <v>26</v>
      </c>
      <c r="C82" s="47">
        <f>C51</f>
        <v>366.51766666666668</v>
      </c>
    </row>
    <row r="83" spans="1:4" x14ac:dyDescent="0.35">
      <c r="A83" s="30" t="s">
        <v>29</v>
      </c>
      <c r="B83" s="45" t="s">
        <v>30</v>
      </c>
      <c r="C83" s="47">
        <f>D66</f>
        <v>837.64994733333344</v>
      </c>
    </row>
    <row r="84" spans="1:4" x14ac:dyDescent="0.35">
      <c r="A84" s="30" t="s">
        <v>40</v>
      </c>
      <c r="B84" s="45" t="s">
        <v>41</v>
      </c>
      <c r="C84" s="47">
        <f>C76</f>
        <v>446.51339999999993</v>
      </c>
    </row>
    <row r="85" spans="1:4" x14ac:dyDescent="0.35">
      <c r="A85" s="129" t="s">
        <v>1</v>
      </c>
      <c r="B85" s="129"/>
      <c r="C85" s="50">
        <f>SUM(C82:C84)</f>
        <v>1650.6810140000002</v>
      </c>
    </row>
    <row r="86" spans="1:4" x14ac:dyDescent="0.35">
      <c r="A86" s="33"/>
    </row>
    <row r="87" spans="1:4" ht="13.3" thickBot="1" x14ac:dyDescent="0.4"/>
    <row r="88" spans="1:4" ht="16.3" thickBot="1" x14ac:dyDescent="0.4">
      <c r="A88" s="135" t="s">
        <v>44</v>
      </c>
      <c r="B88" s="136"/>
      <c r="C88" s="137"/>
    </row>
    <row r="90" spans="1:4" x14ac:dyDescent="0.35">
      <c r="A90" s="43">
        <v>3</v>
      </c>
      <c r="B90" s="43" t="s">
        <v>45</v>
      </c>
      <c r="C90" s="43" t="s">
        <v>13</v>
      </c>
    </row>
    <row r="91" spans="1:4" x14ac:dyDescent="0.35">
      <c r="A91" s="30" t="s">
        <v>14</v>
      </c>
      <c r="B91" s="60" t="s">
        <v>151</v>
      </c>
      <c r="C91" s="56">
        <f>(C40+C85-D64)/12</f>
        <v>239.84136000000001</v>
      </c>
      <c r="D91" s="34"/>
    </row>
    <row r="92" spans="1:4" x14ac:dyDescent="0.35">
      <c r="A92" s="30" t="s">
        <v>15</v>
      </c>
      <c r="B92" s="60" t="s">
        <v>46</v>
      </c>
      <c r="C92" s="61">
        <f>C91*8%</f>
        <v>19.1873088</v>
      </c>
    </row>
    <row r="93" spans="1:4" x14ac:dyDescent="0.35">
      <c r="A93" s="30" t="s">
        <v>16</v>
      </c>
      <c r="B93" s="60" t="s">
        <v>47</v>
      </c>
      <c r="C93" s="61">
        <f>(D65*50%)</f>
        <v>90.058626666666683</v>
      </c>
    </row>
    <row r="94" spans="1:4" x14ac:dyDescent="0.35">
      <c r="A94" s="141" t="s">
        <v>78</v>
      </c>
      <c r="B94" s="141"/>
      <c r="C94" s="57">
        <f>(C91+C93)*59.06%</f>
        <v>194.83893212533334</v>
      </c>
    </row>
    <row r="95" spans="1:4" ht="25.75" x14ac:dyDescent="0.35">
      <c r="A95" s="30" t="s">
        <v>17</v>
      </c>
      <c r="B95" s="62" t="s">
        <v>152</v>
      </c>
      <c r="C95" s="61">
        <f>(C40+C85)/12</f>
        <v>294.63575116666669</v>
      </c>
    </row>
    <row r="96" spans="1:4" x14ac:dyDescent="0.35">
      <c r="A96" s="30" t="s">
        <v>18</v>
      </c>
      <c r="B96" s="60" t="s">
        <v>48</v>
      </c>
      <c r="C96" s="56">
        <f>(C95*C66)</f>
        <v>108.42595642933335</v>
      </c>
    </row>
    <row r="97" spans="1:5" x14ac:dyDescent="0.35">
      <c r="A97" s="30" t="s">
        <v>20</v>
      </c>
      <c r="B97" s="60" t="s">
        <v>49</v>
      </c>
      <c r="C97" s="56">
        <f>C93</f>
        <v>90.058626666666683</v>
      </c>
    </row>
    <row r="98" spans="1:5" x14ac:dyDescent="0.35">
      <c r="A98" s="141" t="s">
        <v>79</v>
      </c>
      <c r="B98" s="141"/>
      <c r="C98" s="57">
        <f>(C95+C97)*6.56%</f>
        <v>25.235951185866664</v>
      </c>
    </row>
    <row r="99" spans="1:5" x14ac:dyDescent="0.35">
      <c r="A99" s="129" t="s">
        <v>80</v>
      </c>
      <c r="B99" s="129"/>
      <c r="C99" s="63">
        <f>C51*4.51%</f>
        <v>16.529946766666669</v>
      </c>
    </row>
    <row r="100" spans="1:5" x14ac:dyDescent="0.35">
      <c r="A100" s="134" t="s">
        <v>81</v>
      </c>
      <c r="B100" s="134"/>
      <c r="C100" s="64">
        <f>(C94+C98)-C99</f>
        <v>203.54493654453336</v>
      </c>
    </row>
    <row r="102" spans="1:5" ht="13.3" thickBot="1" x14ac:dyDescent="0.4"/>
    <row r="103" spans="1:5" ht="16.3" thickBot="1" x14ac:dyDescent="0.4">
      <c r="A103" s="135" t="s">
        <v>50</v>
      </c>
      <c r="B103" s="136"/>
      <c r="C103" s="137"/>
    </row>
    <row r="105" spans="1:5" x14ac:dyDescent="0.35">
      <c r="A105" s="138" t="s">
        <v>51</v>
      </c>
      <c r="B105" s="138"/>
      <c r="C105" s="138"/>
    </row>
    <row r="106" spans="1:5" x14ac:dyDescent="0.35">
      <c r="A106" s="32"/>
    </row>
    <row r="107" spans="1:5" x14ac:dyDescent="0.35">
      <c r="A107" s="43" t="s">
        <v>52</v>
      </c>
      <c r="B107" s="43" t="s">
        <v>53</v>
      </c>
      <c r="C107" s="43" t="s">
        <v>13</v>
      </c>
    </row>
    <row r="108" spans="1:5" x14ac:dyDescent="0.35">
      <c r="A108" s="30" t="s">
        <v>14</v>
      </c>
      <c r="B108" s="45" t="s">
        <v>2</v>
      </c>
      <c r="C108" s="59"/>
    </row>
    <row r="109" spans="1:5" x14ac:dyDescent="0.35">
      <c r="A109" s="30" t="s">
        <v>15</v>
      </c>
      <c r="B109" s="45" t="s">
        <v>130</v>
      </c>
      <c r="C109" s="72">
        <f>(C100+C85+C40)/30*21.3562/12</f>
        <v>221.81818534060884</v>
      </c>
      <c r="E109" s="35"/>
    </row>
    <row r="110" spans="1:5" x14ac:dyDescent="0.35">
      <c r="A110" s="30" t="s">
        <v>16</v>
      </c>
      <c r="B110" s="45" t="s">
        <v>54</v>
      </c>
      <c r="C110" s="47"/>
    </row>
    <row r="111" spans="1:5" x14ac:dyDescent="0.35">
      <c r="A111" s="30" t="s">
        <v>17</v>
      </c>
      <c r="B111" s="45" t="s">
        <v>55</v>
      </c>
      <c r="C111" s="47"/>
    </row>
    <row r="112" spans="1:5" x14ac:dyDescent="0.35">
      <c r="A112" s="30" t="s">
        <v>18</v>
      </c>
      <c r="B112" s="45" t="s">
        <v>56</v>
      </c>
      <c r="C112" s="47"/>
    </row>
    <row r="113" spans="1:5" x14ac:dyDescent="0.35">
      <c r="A113" s="30" t="s">
        <v>20</v>
      </c>
      <c r="B113" s="45" t="s">
        <v>22</v>
      </c>
      <c r="C113" s="30"/>
    </row>
    <row r="114" spans="1:5" x14ac:dyDescent="0.35">
      <c r="A114" s="129" t="s">
        <v>38</v>
      </c>
      <c r="B114" s="129"/>
      <c r="C114" s="50">
        <f>SUM(C108:C113)</f>
        <v>221.81818534060884</v>
      </c>
    </row>
    <row r="117" spans="1:5" x14ac:dyDescent="0.35">
      <c r="A117" s="138" t="s">
        <v>57</v>
      </c>
      <c r="B117" s="138"/>
      <c r="C117" s="138"/>
      <c r="D117" s="35"/>
      <c r="E117" s="35"/>
    </row>
    <row r="118" spans="1:5" x14ac:dyDescent="0.35">
      <c r="A118" s="32"/>
    </row>
    <row r="119" spans="1:5" x14ac:dyDescent="0.35">
      <c r="A119" s="43" t="s">
        <v>58</v>
      </c>
      <c r="B119" s="43" t="s">
        <v>59</v>
      </c>
      <c r="C119" s="43" t="s">
        <v>13</v>
      </c>
    </row>
    <row r="120" spans="1:5" x14ac:dyDescent="0.35">
      <c r="A120" s="30" t="s">
        <v>14</v>
      </c>
      <c r="B120" s="45" t="s">
        <v>166</v>
      </c>
      <c r="C120" s="56">
        <f>(C40+C85+C100)/220*15</f>
        <v>254.94367844621817</v>
      </c>
    </row>
    <row r="121" spans="1:5" x14ac:dyDescent="0.35">
      <c r="A121" s="129" t="s">
        <v>1</v>
      </c>
      <c r="B121" s="129"/>
      <c r="C121" s="57">
        <f>C120</f>
        <v>254.94367844621817</v>
      </c>
    </row>
    <row r="124" spans="1:5" x14ac:dyDescent="0.35">
      <c r="A124" s="138" t="s">
        <v>60</v>
      </c>
      <c r="B124" s="138"/>
      <c r="C124" s="138"/>
    </row>
    <row r="125" spans="1:5" x14ac:dyDescent="0.35">
      <c r="A125" s="32"/>
    </row>
    <row r="126" spans="1:5" x14ac:dyDescent="0.35">
      <c r="A126" s="43">
        <v>4</v>
      </c>
      <c r="B126" s="58" t="s">
        <v>61</v>
      </c>
      <c r="C126" s="43" t="s">
        <v>13</v>
      </c>
    </row>
    <row r="127" spans="1:5" x14ac:dyDescent="0.35">
      <c r="A127" s="30" t="s">
        <v>52</v>
      </c>
      <c r="B127" s="45" t="s">
        <v>53</v>
      </c>
      <c r="C127" s="47">
        <f>C114</f>
        <v>221.81818534060884</v>
      </c>
    </row>
    <row r="128" spans="1:5" x14ac:dyDescent="0.35">
      <c r="A128" s="30" t="s">
        <v>58</v>
      </c>
      <c r="B128" s="45" t="s">
        <v>165</v>
      </c>
      <c r="C128" s="47">
        <f>C120</f>
        <v>254.94367844621817</v>
      </c>
    </row>
    <row r="129" spans="1:4" x14ac:dyDescent="0.35">
      <c r="A129" s="129" t="s">
        <v>1</v>
      </c>
      <c r="B129" s="129"/>
      <c r="C129" s="50">
        <f>SUM(C127:C128)</f>
        <v>476.76186378682701</v>
      </c>
    </row>
    <row r="131" spans="1:4" ht="13.3" thickBot="1" x14ac:dyDescent="0.4"/>
    <row r="132" spans="1:4" ht="16.3" thickBot="1" x14ac:dyDescent="0.4">
      <c r="A132" s="135" t="s">
        <v>62</v>
      </c>
      <c r="B132" s="136"/>
      <c r="C132" s="137"/>
    </row>
    <row r="134" spans="1:4" x14ac:dyDescent="0.35">
      <c r="A134" s="43">
        <v>5</v>
      </c>
      <c r="B134" s="44" t="s">
        <v>6</v>
      </c>
      <c r="C134" s="43" t="s">
        <v>13</v>
      </c>
    </row>
    <row r="135" spans="1:4" x14ac:dyDescent="0.35">
      <c r="A135" s="30" t="s">
        <v>14</v>
      </c>
      <c r="B135" s="45" t="s">
        <v>63</v>
      </c>
      <c r="C135" s="56">
        <f>INSUMOS!E12</f>
        <v>106.48583333333336</v>
      </c>
    </row>
    <row r="136" spans="1:4" x14ac:dyDescent="0.35">
      <c r="A136" s="30" t="s">
        <v>15</v>
      </c>
      <c r="B136" s="45" t="s">
        <v>64</v>
      </c>
      <c r="C136" s="56">
        <f>INSUMOS!K26</f>
        <v>30.855</v>
      </c>
    </row>
    <row r="137" spans="1:4" x14ac:dyDescent="0.35">
      <c r="A137" s="30" t="s">
        <v>16</v>
      </c>
      <c r="B137" s="45" t="s">
        <v>142</v>
      </c>
      <c r="C137" s="56">
        <f>INSUMOS!E43</f>
        <v>68.890708333333336</v>
      </c>
    </row>
    <row r="138" spans="1:4" x14ac:dyDescent="0.35">
      <c r="A138" s="30" t="s">
        <v>17</v>
      </c>
      <c r="B138" s="45" t="s">
        <v>77</v>
      </c>
      <c r="C138" s="56"/>
    </row>
    <row r="139" spans="1:4" x14ac:dyDescent="0.35">
      <c r="A139" s="129" t="s">
        <v>38</v>
      </c>
      <c r="B139" s="129"/>
      <c r="C139" s="57">
        <f>SUM(C135:C138)</f>
        <v>206.23154166666671</v>
      </c>
    </row>
    <row r="141" spans="1:4" ht="13.3" thickBot="1" x14ac:dyDescent="0.4"/>
    <row r="142" spans="1:4" ht="16.3" thickBot="1" x14ac:dyDescent="0.4">
      <c r="A142" s="135" t="s">
        <v>65</v>
      </c>
      <c r="B142" s="136"/>
      <c r="C142" s="136"/>
      <c r="D142" s="137"/>
    </row>
    <row r="144" spans="1:4" x14ac:dyDescent="0.35">
      <c r="A144" s="43">
        <v>6</v>
      </c>
      <c r="B144" s="44" t="s">
        <v>7</v>
      </c>
      <c r="C144" s="43" t="s">
        <v>31</v>
      </c>
      <c r="D144" s="43" t="s">
        <v>13</v>
      </c>
    </row>
    <row r="145" spans="1:6" x14ac:dyDescent="0.35">
      <c r="A145" s="30" t="s">
        <v>14</v>
      </c>
      <c r="B145" s="45" t="s">
        <v>8</v>
      </c>
      <c r="C145" s="73">
        <v>0.06</v>
      </c>
      <c r="D145" s="47">
        <f>(C139+C129+C100+C85+C40)*C145</f>
        <v>265.33004135988165</v>
      </c>
    </row>
    <row r="146" spans="1:6" x14ac:dyDescent="0.35">
      <c r="A146" s="30" t="s">
        <v>15</v>
      </c>
      <c r="B146" s="45" t="s">
        <v>10</v>
      </c>
      <c r="C146" s="46">
        <v>6.7900000000000002E-2</v>
      </c>
      <c r="D146" s="47">
        <f>(C139+C129+C100+C85+C40)*C146</f>
        <v>300.26516347226607</v>
      </c>
    </row>
    <row r="147" spans="1:6" x14ac:dyDescent="0.35">
      <c r="A147" s="30" t="s">
        <v>16</v>
      </c>
      <c r="B147" s="45" t="s">
        <v>9</v>
      </c>
      <c r="C147" s="73"/>
      <c r="D147" s="47"/>
    </row>
    <row r="148" spans="1:6" x14ac:dyDescent="0.35">
      <c r="A148" s="30"/>
      <c r="B148" s="45" t="s">
        <v>72</v>
      </c>
      <c r="C148" s="46">
        <v>6.4999999999999997E-3</v>
      </c>
      <c r="D148" s="47">
        <f>(C139+C129+C100+C85+C40)*C148</f>
        <v>28.744087813987175</v>
      </c>
    </row>
    <row r="149" spans="1:6" x14ac:dyDescent="0.35">
      <c r="A149" s="30"/>
      <c r="B149" s="45" t="s">
        <v>73</v>
      </c>
      <c r="C149" s="46">
        <v>0.03</v>
      </c>
      <c r="D149" s="47">
        <f>(C139+C129+C100+C85+C40)*C149</f>
        <v>132.66502067994082</v>
      </c>
    </row>
    <row r="150" spans="1:6" x14ac:dyDescent="0.35">
      <c r="A150" s="30"/>
      <c r="B150" s="45" t="s">
        <v>66</v>
      </c>
      <c r="C150" s="73"/>
      <c r="D150" s="47"/>
    </row>
    <row r="151" spans="1:6" x14ac:dyDescent="0.35">
      <c r="A151" s="30"/>
      <c r="B151" s="45" t="s">
        <v>168</v>
      </c>
      <c r="C151" s="106">
        <v>0.05</v>
      </c>
      <c r="D151" s="47">
        <f>(C139+C129+C100+C85+C40)*C151</f>
        <v>221.10836779990137</v>
      </c>
    </row>
    <row r="152" spans="1:6" x14ac:dyDescent="0.35">
      <c r="A152" s="30"/>
      <c r="B152" s="45" t="s">
        <v>86</v>
      </c>
      <c r="C152" s="48">
        <f>SUM(C145:C151)</f>
        <v>0.21440000000000003</v>
      </c>
      <c r="D152" s="47">
        <f>(C139+C129+C100+C85+C40)*C152</f>
        <v>948.11268112597725</v>
      </c>
      <c r="E152" s="36"/>
      <c r="F152" s="37"/>
    </row>
    <row r="153" spans="1:6" x14ac:dyDescent="0.35">
      <c r="A153" s="129" t="s">
        <v>38</v>
      </c>
      <c r="B153" s="129"/>
      <c r="C153" s="46"/>
      <c r="D153" s="50">
        <f>D152</f>
        <v>948.11268112597725</v>
      </c>
    </row>
    <row r="155" spans="1:6" ht="13.3" thickBot="1" x14ac:dyDescent="0.4"/>
    <row r="156" spans="1:6" ht="16.3" thickBot="1" x14ac:dyDescent="0.4">
      <c r="A156" s="126" t="s">
        <v>67</v>
      </c>
      <c r="B156" s="127"/>
      <c r="C156" s="128"/>
    </row>
    <row r="158" spans="1:6" x14ac:dyDescent="0.35">
      <c r="A158" s="43"/>
      <c r="B158" s="43" t="s">
        <v>68</v>
      </c>
      <c r="C158" s="43" t="s">
        <v>13</v>
      </c>
    </row>
    <row r="159" spans="1:6" x14ac:dyDescent="0.35">
      <c r="A159" s="43" t="s">
        <v>14</v>
      </c>
      <c r="B159" s="45" t="s">
        <v>11</v>
      </c>
      <c r="C159" s="51">
        <f>C40</f>
        <v>1884.9480000000001</v>
      </c>
    </row>
    <row r="160" spans="1:6" x14ac:dyDescent="0.35">
      <c r="A160" s="43" t="s">
        <v>15</v>
      </c>
      <c r="B160" s="45" t="s">
        <v>23</v>
      </c>
      <c r="C160" s="51">
        <f>C85</f>
        <v>1650.6810140000002</v>
      </c>
    </row>
    <row r="161" spans="1:5" x14ac:dyDescent="0.35">
      <c r="A161" s="43" t="s">
        <v>16</v>
      </c>
      <c r="B161" s="45" t="s">
        <v>44</v>
      </c>
      <c r="C161" s="51">
        <f>C100</f>
        <v>203.54493654453336</v>
      </c>
    </row>
    <row r="162" spans="1:5" x14ac:dyDescent="0.35">
      <c r="A162" s="43" t="s">
        <v>17</v>
      </c>
      <c r="B162" s="52" t="s">
        <v>50</v>
      </c>
      <c r="C162" s="51">
        <f>C129</f>
        <v>476.76186378682701</v>
      </c>
    </row>
    <row r="163" spans="1:5" x14ac:dyDescent="0.35">
      <c r="A163" s="43" t="s">
        <v>18</v>
      </c>
      <c r="B163" s="45" t="s">
        <v>62</v>
      </c>
      <c r="C163" s="51">
        <f>C139</f>
        <v>206.23154166666671</v>
      </c>
    </row>
    <row r="164" spans="1:5" x14ac:dyDescent="0.35">
      <c r="A164" s="129" t="s">
        <v>69</v>
      </c>
      <c r="B164" s="129"/>
      <c r="C164" s="53">
        <f>SUM(C159:C163)</f>
        <v>4422.1673559980272</v>
      </c>
    </row>
    <row r="165" spans="1:5" x14ac:dyDescent="0.35">
      <c r="A165" s="43" t="s">
        <v>20</v>
      </c>
      <c r="B165" s="45" t="s">
        <v>70</v>
      </c>
      <c r="C165" s="51">
        <f>D153</f>
        <v>948.11268112597725</v>
      </c>
    </row>
    <row r="166" spans="1:5" x14ac:dyDescent="0.35">
      <c r="A166" s="129" t="s">
        <v>71</v>
      </c>
      <c r="B166" s="129"/>
      <c r="C166" s="54">
        <f>C164+C165</f>
        <v>5370.2800371240046</v>
      </c>
    </row>
    <row r="167" spans="1:5" ht="13.3" thickBot="1" x14ac:dyDescent="0.4">
      <c r="A167" s="130" t="s">
        <v>132</v>
      </c>
      <c r="B167" s="130"/>
      <c r="C167" s="55"/>
      <c r="D167" s="42"/>
      <c r="E167" s="37"/>
    </row>
    <row r="168" spans="1:5" ht="91.3" customHeight="1" thickBot="1" x14ac:dyDescent="0.4">
      <c r="A168" s="131" t="s">
        <v>133</v>
      </c>
      <c r="B168" s="132"/>
      <c r="C168" s="133"/>
    </row>
  </sheetData>
  <mergeCells count="41">
    <mergeCell ref="A32:C32"/>
    <mergeCell ref="A51:B51"/>
    <mergeCell ref="A43:C43"/>
    <mergeCell ref="A167:B167"/>
    <mergeCell ref="A45:C45"/>
    <mergeCell ref="A66:B66"/>
    <mergeCell ref="A54:D54"/>
    <mergeCell ref="A164:B164"/>
    <mergeCell ref="A64:B64"/>
    <mergeCell ref="A94:B94"/>
    <mergeCell ref="A98:B98"/>
    <mergeCell ref="A100:B100"/>
    <mergeCell ref="A76:B76"/>
    <mergeCell ref="A69:C69"/>
    <mergeCell ref="A142:D142"/>
    <mergeCell ref="A10:C10"/>
    <mergeCell ref="A17:C17"/>
    <mergeCell ref="A24:C24"/>
    <mergeCell ref="A166:B166"/>
    <mergeCell ref="A156:C156"/>
    <mergeCell ref="A103:C103"/>
    <mergeCell ref="A114:B114"/>
    <mergeCell ref="A105:C105"/>
    <mergeCell ref="A121:B121"/>
    <mergeCell ref="A117:C117"/>
    <mergeCell ref="A129:B129"/>
    <mergeCell ref="A124:C124"/>
    <mergeCell ref="A139:B139"/>
    <mergeCell ref="A132:C132"/>
    <mergeCell ref="A153:B153"/>
    <mergeCell ref="A40:B40"/>
    <mergeCell ref="A1:C1"/>
    <mergeCell ref="A2:C2"/>
    <mergeCell ref="A4:C4"/>
    <mergeCell ref="A5:C5"/>
    <mergeCell ref="A6:C6"/>
    <mergeCell ref="A168:C168"/>
    <mergeCell ref="A85:B85"/>
    <mergeCell ref="A79:C79"/>
    <mergeCell ref="A99:B99"/>
    <mergeCell ref="A88:C88"/>
  </mergeCells>
  <pageMargins left="0.511811024" right="0.511811024" top="0.78740157499999996" bottom="0.78740157499999996" header="0.31496062000000002" footer="0.31496062000000002"/>
  <pageSetup paperSize="9" scale="76" fitToHeight="0" orientation="portrait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C2283E-EEEF-4DED-996D-B152BD45103D}">
  <sheetPr>
    <pageSetUpPr fitToPage="1"/>
  </sheetPr>
  <dimension ref="A1:K43"/>
  <sheetViews>
    <sheetView topLeftCell="A7" workbookViewId="0">
      <selection activeCell="C2" sqref="C2"/>
    </sheetView>
  </sheetViews>
  <sheetFormatPr defaultColWidth="8.69140625" defaultRowHeight="12.9" x14ac:dyDescent="0.35"/>
  <cols>
    <col min="1" max="1" width="4.53515625" style="4" bestFit="1" customWidth="1"/>
    <col min="2" max="2" width="65.23046875" style="4" customWidth="1"/>
    <col min="3" max="3" width="11" style="4" customWidth="1"/>
    <col min="4" max="4" width="12.15234375" style="4" bestFit="1" customWidth="1"/>
    <col min="5" max="5" width="14.3046875" style="4" bestFit="1" customWidth="1"/>
    <col min="6" max="6" width="10.3046875" style="4" bestFit="1" customWidth="1"/>
    <col min="7" max="7" width="8.69140625" style="4"/>
    <col min="8" max="8" width="28.61328125" style="4" customWidth="1"/>
    <col min="9" max="10" width="8.69140625" style="4"/>
    <col min="11" max="11" width="9.61328125" style="4" bestFit="1" customWidth="1"/>
    <col min="12" max="16384" width="8.69140625" style="4"/>
  </cols>
  <sheetData>
    <row r="1" spans="1:11" ht="25.75" x14ac:dyDescent="0.35">
      <c r="A1" s="82" t="s">
        <v>82</v>
      </c>
      <c r="B1" s="3" t="s">
        <v>83</v>
      </c>
      <c r="C1" s="3" t="s">
        <v>84</v>
      </c>
      <c r="D1" s="3" t="s">
        <v>85</v>
      </c>
      <c r="E1" s="82" t="s">
        <v>86</v>
      </c>
    </row>
    <row r="2" spans="1:11" ht="14.6" x14ac:dyDescent="0.4">
      <c r="A2" s="5">
        <v>1</v>
      </c>
      <c r="B2" s="92" t="s">
        <v>147</v>
      </c>
      <c r="C2" s="90">
        <v>3</v>
      </c>
      <c r="D2" s="89">
        <v>75.37</v>
      </c>
      <c r="E2" s="89">
        <f>C2*D2</f>
        <v>226.11</v>
      </c>
    </row>
    <row r="3" spans="1:11" ht="14.6" x14ac:dyDescent="0.4">
      <c r="A3" s="5">
        <v>2</v>
      </c>
      <c r="B3" s="92" t="s">
        <v>148</v>
      </c>
      <c r="C3" s="90">
        <v>3</v>
      </c>
      <c r="D3" s="89">
        <v>69.010000000000005</v>
      </c>
      <c r="E3" s="89">
        <f t="shared" ref="E3:E10" si="0">C3*D3</f>
        <v>207.03000000000003</v>
      </c>
    </row>
    <row r="4" spans="1:11" ht="15.9" x14ac:dyDescent="0.4">
      <c r="A4" s="5">
        <v>3</v>
      </c>
      <c r="B4" s="91" t="s">
        <v>87</v>
      </c>
      <c r="C4" s="7">
        <v>1</v>
      </c>
      <c r="D4" s="89">
        <v>19.18</v>
      </c>
      <c r="E4" s="89">
        <f t="shared" si="0"/>
        <v>19.18</v>
      </c>
    </row>
    <row r="5" spans="1:11" ht="15.9" x14ac:dyDescent="0.4">
      <c r="A5" s="5">
        <v>4</v>
      </c>
      <c r="B5" s="6" t="s">
        <v>88</v>
      </c>
      <c r="C5" s="7">
        <v>2</v>
      </c>
      <c r="D5" s="89">
        <v>145.52000000000001</v>
      </c>
      <c r="E5" s="89">
        <f t="shared" si="0"/>
        <v>291.04000000000002</v>
      </c>
    </row>
    <row r="6" spans="1:11" ht="15.9" x14ac:dyDescent="0.4">
      <c r="A6" s="5">
        <v>5</v>
      </c>
      <c r="B6" s="6" t="s">
        <v>89</v>
      </c>
      <c r="C6" s="7">
        <v>8</v>
      </c>
      <c r="D6" s="89">
        <v>16.46</v>
      </c>
      <c r="E6" s="89">
        <f t="shared" si="0"/>
        <v>131.68</v>
      </c>
    </row>
    <row r="7" spans="1:11" ht="15.9" x14ac:dyDescent="0.4">
      <c r="A7" s="5">
        <v>6</v>
      </c>
      <c r="B7" s="6" t="s">
        <v>90</v>
      </c>
      <c r="C7" s="7">
        <v>2</v>
      </c>
      <c r="D7" s="89">
        <v>18.05</v>
      </c>
      <c r="E7" s="89">
        <f t="shared" si="0"/>
        <v>36.1</v>
      </c>
    </row>
    <row r="8" spans="1:11" ht="15.9" x14ac:dyDescent="0.4">
      <c r="A8" s="5">
        <v>7</v>
      </c>
      <c r="B8" s="6" t="s">
        <v>91</v>
      </c>
      <c r="C8" s="7">
        <v>1</v>
      </c>
      <c r="D8" s="89">
        <v>68.790000000000006</v>
      </c>
      <c r="E8" s="89">
        <f t="shared" si="0"/>
        <v>68.790000000000006</v>
      </c>
    </row>
    <row r="9" spans="1:11" ht="15.9" x14ac:dyDescent="0.4">
      <c r="A9" s="5">
        <v>8</v>
      </c>
      <c r="B9" s="6" t="s">
        <v>92</v>
      </c>
      <c r="C9" s="7">
        <v>1</v>
      </c>
      <c r="D9" s="89">
        <v>49</v>
      </c>
      <c r="E9" s="89">
        <f t="shared" si="0"/>
        <v>49</v>
      </c>
    </row>
    <row r="10" spans="1:11" ht="15.9" x14ac:dyDescent="0.4">
      <c r="A10" s="5">
        <v>9</v>
      </c>
      <c r="B10" s="6" t="s">
        <v>135</v>
      </c>
      <c r="C10" s="7">
        <v>1</v>
      </c>
      <c r="D10" s="89">
        <v>248.9</v>
      </c>
      <c r="E10" s="89">
        <f t="shared" si="0"/>
        <v>248.9</v>
      </c>
    </row>
    <row r="11" spans="1:11" ht="14.6" x14ac:dyDescent="0.4">
      <c r="A11" s="149" t="s">
        <v>93</v>
      </c>
      <c r="B11" s="149"/>
      <c r="C11" s="149"/>
      <c r="D11" s="149"/>
      <c r="E11" s="8">
        <f>SUM(E2:E10)</f>
        <v>1277.8300000000004</v>
      </c>
      <c r="F11" s="125">
        <f>('DIURNO CBA'!C159+'DIURNO CBA'!C160+'DIURNO CBA'!C161+'DIURNO CBA'!C162)</f>
        <v>4215.9358143313602</v>
      </c>
      <c r="G11" s="4">
        <f>(F11/100)*3.05</f>
        <v>128.58604233710648</v>
      </c>
    </row>
    <row r="12" spans="1:11" ht="14.6" x14ac:dyDescent="0.4">
      <c r="A12" s="149" t="s">
        <v>94</v>
      </c>
      <c r="B12" s="149"/>
      <c r="C12" s="149"/>
      <c r="D12" s="149"/>
      <c r="E12" s="9">
        <f>E11/12</f>
        <v>106.48583333333336</v>
      </c>
    </row>
    <row r="15" spans="1:11" ht="25.75" x14ac:dyDescent="0.35">
      <c r="A15" s="82" t="s">
        <v>82</v>
      </c>
      <c r="B15" s="3" t="s">
        <v>95</v>
      </c>
      <c r="C15" s="3" t="s">
        <v>84</v>
      </c>
      <c r="D15" s="3" t="s">
        <v>85</v>
      </c>
      <c r="E15" s="82" t="s">
        <v>86</v>
      </c>
      <c r="G15" s="2" t="s">
        <v>82</v>
      </c>
      <c r="H15" s="3" t="s">
        <v>95</v>
      </c>
      <c r="I15" s="3" t="s">
        <v>84</v>
      </c>
      <c r="J15" s="3" t="s">
        <v>85</v>
      </c>
      <c r="K15" s="82" t="s">
        <v>86</v>
      </c>
    </row>
    <row r="16" spans="1:11" ht="15.9" x14ac:dyDescent="0.4">
      <c r="A16" s="5">
        <v>10</v>
      </c>
      <c r="B16" s="6" t="s">
        <v>96</v>
      </c>
      <c r="C16" s="7">
        <v>1</v>
      </c>
      <c r="D16" s="89">
        <v>39.01</v>
      </c>
      <c r="E16" s="89">
        <f>C16*D16</f>
        <v>39.01</v>
      </c>
      <c r="G16" s="5">
        <v>10</v>
      </c>
      <c r="H16" s="6" t="s">
        <v>96</v>
      </c>
      <c r="I16" s="7">
        <v>1</v>
      </c>
      <c r="J16" s="8">
        <v>39.01</v>
      </c>
      <c r="K16" s="8">
        <f>I16*J16</f>
        <v>39.01</v>
      </c>
    </row>
    <row r="17" spans="1:11" ht="15.9" x14ac:dyDescent="0.4">
      <c r="A17" s="5">
        <v>11</v>
      </c>
      <c r="B17" s="6" t="s">
        <v>97</v>
      </c>
      <c r="C17" s="7">
        <v>1</v>
      </c>
      <c r="D17" s="89">
        <v>15.36</v>
      </c>
      <c r="E17" s="89">
        <f t="shared" ref="E17:E24" si="1">C17*D17</f>
        <v>15.36</v>
      </c>
      <c r="G17" s="5">
        <v>11</v>
      </c>
      <c r="H17" s="6" t="s">
        <v>97</v>
      </c>
      <c r="I17" s="7">
        <v>1</v>
      </c>
      <c r="J17" s="8">
        <v>15.36</v>
      </c>
      <c r="K17" s="8">
        <f t="shared" ref="K17:K24" si="2">I17*J17</f>
        <v>15.36</v>
      </c>
    </row>
    <row r="18" spans="1:11" ht="15.9" x14ac:dyDescent="0.4">
      <c r="A18" s="5">
        <v>12</v>
      </c>
      <c r="B18" s="6" t="s">
        <v>98</v>
      </c>
      <c r="C18" s="7">
        <v>15</v>
      </c>
      <c r="D18" s="89">
        <v>4.25</v>
      </c>
      <c r="E18" s="89">
        <f t="shared" si="1"/>
        <v>63.75</v>
      </c>
      <c r="G18" s="5">
        <v>12</v>
      </c>
      <c r="H18" s="6" t="s">
        <v>98</v>
      </c>
      <c r="I18" s="7">
        <v>15</v>
      </c>
      <c r="J18" s="8">
        <v>4.25</v>
      </c>
      <c r="K18" s="8">
        <f t="shared" si="2"/>
        <v>63.75</v>
      </c>
    </row>
    <row r="19" spans="1:11" ht="15.9" x14ac:dyDescent="0.4">
      <c r="A19" s="5">
        <v>13</v>
      </c>
      <c r="B19" s="6" t="s">
        <v>99</v>
      </c>
      <c r="C19" s="7">
        <v>1</v>
      </c>
      <c r="D19" s="89">
        <v>54.19</v>
      </c>
      <c r="E19" s="89">
        <f t="shared" si="1"/>
        <v>54.19</v>
      </c>
      <c r="G19" s="5">
        <v>13</v>
      </c>
      <c r="H19" s="6" t="s">
        <v>99</v>
      </c>
      <c r="I19" s="7">
        <v>1</v>
      </c>
      <c r="J19" s="8">
        <v>54.19</v>
      </c>
      <c r="K19" s="8">
        <f t="shared" si="2"/>
        <v>54.19</v>
      </c>
    </row>
    <row r="20" spans="1:11" ht="15.9" x14ac:dyDescent="0.4">
      <c r="A20" s="5">
        <v>14</v>
      </c>
      <c r="B20" s="6" t="s">
        <v>100</v>
      </c>
      <c r="C20" s="7">
        <v>1</v>
      </c>
      <c r="D20" s="89">
        <v>19.46</v>
      </c>
      <c r="E20" s="89">
        <f t="shared" si="1"/>
        <v>19.46</v>
      </c>
      <c r="G20" s="5">
        <v>14</v>
      </c>
      <c r="H20" s="6" t="s">
        <v>100</v>
      </c>
      <c r="I20" s="7">
        <v>1</v>
      </c>
      <c r="J20" s="8">
        <v>19.46</v>
      </c>
      <c r="K20" s="8">
        <f t="shared" si="2"/>
        <v>19.46</v>
      </c>
    </row>
    <row r="21" spans="1:11" ht="15.9" x14ac:dyDescent="0.4">
      <c r="A21" s="5">
        <v>15</v>
      </c>
      <c r="B21" s="6" t="s">
        <v>101</v>
      </c>
      <c r="C21" s="7">
        <v>2</v>
      </c>
      <c r="D21" s="89">
        <v>17.41</v>
      </c>
      <c r="E21" s="89">
        <f t="shared" si="1"/>
        <v>34.82</v>
      </c>
      <c r="G21" s="5">
        <v>15</v>
      </c>
      <c r="H21" s="6" t="s">
        <v>101</v>
      </c>
      <c r="I21" s="7">
        <v>2</v>
      </c>
      <c r="J21" s="8">
        <v>17.41</v>
      </c>
      <c r="K21" s="8">
        <f t="shared" si="2"/>
        <v>34.82</v>
      </c>
    </row>
    <row r="22" spans="1:11" ht="15.9" x14ac:dyDescent="0.4">
      <c r="A22" s="5">
        <v>16</v>
      </c>
      <c r="B22" s="6" t="s">
        <v>102</v>
      </c>
      <c r="C22" s="7">
        <v>1</v>
      </c>
      <c r="D22" s="89">
        <v>60.4</v>
      </c>
      <c r="E22" s="89">
        <f t="shared" si="1"/>
        <v>60.4</v>
      </c>
      <c r="G22" s="87">
        <v>16</v>
      </c>
      <c r="H22" s="88" t="s">
        <v>102</v>
      </c>
      <c r="I22" s="156" t="s">
        <v>146</v>
      </c>
      <c r="J22" s="157"/>
      <c r="K22" s="8"/>
    </row>
    <row r="23" spans="1:11" ht="31.75" x14ac:dyDescent="0.4">
      <c r="A23" s="5">
        <v>17</v>
      </c>
      <c r="B23" s="6" t="s">
        <v>103</v>
      </c>
      <c r="C23" s="7">
        <v>1</v>
      </c>
      <c r="D23" s="89">
        <v>15.27</v>
      </c>
      <c r="E23" s="89">
        <f t="shared" si="1"/>
        <v>15.27</v>
      </c>
      <c r="G23" s="5">
        <v>17</v>
      </c>
      <c r="H23" s="6" t="s">
        <v>103</v>
      </c>
      <c r="I23" s="7">
        <v>1</v>
      </c>
      <c r="J23" s="8">
        <v>15.27</v>
      </c>
      <c r="K23" s="8">
        <f t="shared" si="2"/>
        <v>15.27</v>
      </c>
    </row>
    <row r="24" spans="1:11" ht="15.9" x14ac:dyDescent="0.4">
      <c r="A24" s="5">
        <v>18</v>
      </c>
      <c r="B24" s="6" t="s">
        <v>138</v>
      </c>
      <c r="C24" s="7">
        <v>24</v>
      </c>
      <c r="D24" s="89">
        <v>5.35</v>
      </c>
      <c r="E24" s="89">
        <f t="shared" si="1"/>
        <v>128.39999999999998</v>
      </c>
      <c r="G24" s="5">
        <v>18</v>
      </c>
      <c r="H24" s="6" t="s">
        <v>138</v>
      </c>
      <c r="I24" s="7">
        <v>24</v>
      </c>
      <c r="J24" s="8">
        <v>5.35</v>
      </c>
      <c r="K24" s="8">
        <f t="shared" si="2"/>
        <v>128.39999999999998</v>
      </c>
    </row>
    <row r="25" spans="1:11" ht="14.6" x14ac:dyDescent="0.4">
      <c r="A25" s="149" t="s">
        <v>93</v>
      </c>
      <c r="B25" s="149"/>
      <c r="C25" s="149"/>
      <c r="D25" s="149"/>
      <c r="E25" s="8">
        <f>SUM(E16:E24)</f>
        <v>430.65999999999997</v>
      </c>
      <c r="G25" s="149" t="s">
        <v>93</v>
      </c>
      <c r="H25" s="149"/>
      <c r="I25" s="149"/>
      <c r="J25" s="149"/>
      <c r="K25" s="8">
        <f>SUM(K16:K24)</f>
        <v>370.26</v>
      </c>
    </row>
    <row r="26" spans="1:11" ht="14.6" x14ac:dyDescent="0.4">
      <c r="A26" s="149" t="s">
        <v>94</v>
      </c>
      <c r="B26" s="149"/>
      <c r="C26" s="149"/>
      <c r="D26" s="149"/>
      <c r="E26" s="9">
        <f>E25/12</f>
        <v>35.888333333333328</v>
      </c>
      <c r="G26" s="149" t="s">
        <v>94</v>
      </c>
      <c r="H26" s="149"/>
      <c r="I26" s="149"/>
      <c r="J26" s="149"/>
      <c r="K26" s="9">
        <f>K25/12</f>
        <v>30.855</v>
      </c>
    </row>
    <row r="29" spans="1:11" ht="25.75" x14ac:dyDescent="0.35">
      <c r="A29" s="82" t="s">
        <v>82</v>
      </c>
      <c r="B29" s="3" t="s">
        <v>104</v>
      </c>
      <c r="C29" s="3" t="s">
        <v>84</v>
      </c>
      <c r="D29" s="3" t="s">
        <v>85</v>
      </c>
      <c r="E29" s="82" t="s">
        <v>86</v>
      </c>
    </row>
    <row r="30" spans="1:11" s="12" customFormat="1" ht="15.9" x14ac:dyDescent="0.45">
      <c r="A30" s="10">
        <v>19</v>
      </c>
      <c r="B30" s="11" t="s">
        <v>105</v>
      </c>
      <c r="C30" s="7">
        <v>1</v>
      </c>
      <c r="D30" s="8">
        <v>4671.1099999999997</v>
      </c>
      <c r="E30" s="8">
        <f>C30*D30</f>
        <v>4671.1099999999997</v>
      </c>
    </row>
    <row r="31" spans="1:11" ht="14.6" x14ac:dyDescent="0.4">
      <c r="A31" s="150" t="s">
        <v>106</v>
      </c>
      <c r="B31" s="151"/>
      <c r="C31" s="151"/>
      <c r="D31" s="152"/>
      <c r="E31" s="8">
        <f>E30/10</f>
        <v>467.11099999999999</v>
      </c>
    </row>
    <row r="32" spans="1:11" ht="14.6" x14ac:dyDescent="0.4">
      <c r="A32" s="150" t="s">
        <v>94</v>
      </c>
      <c r="B32" s="151"/>
      <c r="C32" s="151"/>
      <c r="D32" s="152"/>
      <c r="E32" s="9">
        <f>E31/12</f>
        <v>38.925916666666666</v>
      </c>
    </row>
    <row r="33" spans="1:5" ht="25.75" x14ac:dyDescent="0.35">
      <c r="A33" s="82" t="s">
        <v>82</v>
      </c>
      <c r="B33" s="3" t="s">
        <v>136</v>
      </c>
      <c r="C33" s="3" t="s">
        <v>84</v>
      </c>
      <c r="D33" s="3" t="s">
        <v>85</v>
      </c>
      <c r="E33" s="82" t="s">
        <v>86</v>
      </c>
    </row>
    <row r="34" spans="1:5" ht="15.9" x14ac:dyDescent="0.4">
      <c r="A34" s="5">
        <v>20</v>
      </c>
      <c r="B34" s="77" t="s">
        <v>134</v>
      </c>
      <c r="C34" s="7">
        <v>1</v>
      </c>
      <c r="D34" s="79">
        <v>1062.2</v>
      </c>
      <c r="E34" s="80">
        <f>D34</f>
        <v>1062.2</v>
      </c>
    </row>
    <row r="35" spans="1:5" x14ac:dyDescent="0.35">
      <c r="A35" s="150" t="s">
        <v>139</v>
      </c>
      <c r="B35" s="151"/>
      <c r="C35" s="151"/>
      <c r="D35" s="152"/>
      <c r="E35" s="80">
        <f>(E34/100)*20</f>
        <v>212.44</v>
      </c>
    </row>
    <row r="36" spans="1:5" x14ac:dyDescent="0.35">
      <c r="A36" s="150" t="s">
        <v>94</v>
      </c>
      <c r="B36" s="151"/>
      <c r="C36" s="151"/>
      <c r="D36" s="152"/>
      <c r="E36" s="83">
        <f>E35/12</f>
        <v>17.703333333333333</v>
      </c>
    </row>
    <row r="37" spans="1:5" ht="25.75" x14ac:dyDescent="0.35">
      <c r="A37" s="82" t="s">
        <v>82</v>
      </c>
      <c r="B37" s="3" t="s">
        <v>137</v>
      </c>
      <c r="C37" s="3" t="s">
        <v>84</v>
      </c>
      <c r="D37" s="3" t="s">
        <v>85</v>
      </c>
      <c r="E37" s="82" t="s">
        <v>86</v>
      </c>
    </row>
    <row r="38" spans="1:5" ht="29.15" x14ac:dyDescent="0.4">
      <c r="A38" s="5">
        <v>21</v>
      </c>
      <c r="B38" s="76" t="s">
        <v>144</v>
      </c>
      <c r="C38" s="78">
        <v>1</v>
      </c>
      <c r="D38" s="81">
        <v>588.54999999999995</v>
      </c>
      <c r="E38" s="84">
        <f>D38</f>
        <v>588.54999999999995</v>
      </c>
    </row>
    <row r="39" spans="1:5" x14ac:dyDescent="0.35">
      <c r="A39" s="153" t="s">
        <v>145</v>
      </c>
      <c r="B39" s="154"/>
      <c r="C39" s="154"/>
      <c r="D39" s="155"/>
      <c r="E39" s="84">
        <f>E38/2</f>
        <v>294.27499999999998</v>
      </c>
    </row>
    <row r="40" spans="1:5" x14ac:dyDescent="0.35">
      <c r="A40" s="150" t="s">
        <v>140</v>
      </c>
      <c r="B40" s="151"/>
      <c r="C40" s="151"/>
      <c r="D40" s="152"/>
      <c r="E40" s="84">
        <f>(E39/100)*50</f>
        <v>147.13749999999999</v>
      </c>
    </row>
    <row r="41" spans="1:5" x14ac:dyDescent="0.35">
      <c r="A41" s="150" t="s">
        <v>94</v>
      </c>
      <c r="B41" s="151"/>
      <c r="C41" s="151"/>
      <c r="D41" s="152"/>
      <c r="E41" s="86">
        <f>E40/12</f>
        <v>12.261458333333332</v>
      </c>
    </row>
    <row r="43" spans="1:5" x14ac:dyDescent="0.35">
      <c r="A43" s="149" t="s">
        <v>141</v>
      </c>
      <c r="B43" s="149"/>
      <c r="C43" s="149"/>
      <c r="D43" s="149"/>
      <c r="E43" s="85">
        <f>E32+E36+E41</f>
        <v>68.890708333333336</v>
      </c>
    </row>
  </sheetData>
  <mergeCells count="15">
    <mergeCell ref="G25:J25"/>
    <mergeCell ref="G26:J26"/>
    <mergeCell ref="I22:J22"/>
    <mergeCell ref="A35:D35"/>
    <mergeCell ref="A36:D36"/>
    <mergeCell ref="A40:D40"/>
    <mergeCell ref="A41:D41"/>
    <mergeCell ref="A43:D43"/>
    <mergeCell ref="A39:D39"/>
    <mergeCell ref="A32:D32"/>
    <mergeCell ref="A11:D11"/>
    <mergeCell ref="A12:D12"/>
    <mergeCell ref="A25:D25"/>
    <mergeCell ref="A26:D26"/>
    <mergeCell ref="A31:D31"/>
  </mergeCells>
  <pageMargins left="0.511811024" right="0.511811024" top="0.78740157499999996" bottom="0.78740157499999996" header="0.31496062000000002" footer="0.31496062000000002"/>
  <pageSetup paperSize="9" scale="75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3E7A8-731E-4E20-824F-827AE588452C}">
  <sheetPr>
    <pageSetUpPr fitToPage="1"/>
  </sheetPr>
  <dimension ref="A1:J15"/>
  <sheetViews>
    <sheetView tabSelected="1" workbookViewId="0">
      <selection activeCell="J13" sqref="J13:J15"/>
    </sheetView>
  </sheetViews>
  <sheetFormatPr defaultColWidth="8.69140625" defaultRowHeight="15.9" x14ac:dyDescent="0.45"/>
  <cols>
    <col min="1" max="1" width="7.4609375" style="13" bestFit="1" customWidth="1"/>
    <col min="2" max="2" width="5.4609375" style="13" bestFit="1" customWidth="1"/>
    <col min="3" max="3" width="22" style="13" bestFit="1" customWidth="1"/>
    <col min="4" max="4" width="22.15234375" style="13" bestFit="1" customWidth="1"/>
    <col min="5" max="5" width="13.3828125" style="13" bestFit="1" customWidth="1"/>
    <col min="6" max="6" width="29" style="13" bestFit="1" customWidth="1"/>
    <col min="7" max="7" width="13.84375" style="13" bestFit="1" customWidth="1"/>
    <col min="8" max="8" width="15.53515625" style="13" bestFit="1" customWidth="1"/>
    <col min="9" max="9" width="16.61328125" style="13" bestFit="1" customWidth="1"/>
    <col min="10" max="10" width="14.3828125" style="13" bestFit="1" customWidth="1"/>
    <col min="11" max="16384" width="8.69140625" style="13"/>
  </cols>
  <sheetData>
    <row r="1" spans="1:10" ht="16.3" thickBot="1" x14ac:dyDescent="0.5">
      <c r="A1" s="159" t="s">
        <v>181</v>
      </c>
      <c r="B1" s="160"/>
      <c r="C1" s="160"/>
      <c r="D1" s="160"/>
      <c r="E1" s="160"/>
      <c r="F1" s="160"/>
      <c r="G1" s="160"/>
      <c r="H1" s="160"/>
      <c r="I1" s="161"/>
    </row>
    <row r="2" spans="1:10" ht="31.75" x14ac:dyDescent="0.45">
      <c r="A2" s="95" t="s">
        <v>169</v>
      </c>
      <c r="B2" s="95" t="s">
        <v>82</v>
      </c>
      <c r="C2" s="95" t="s">
        <v>170</v>
      </c>
      <c r="D2" s="95" t="s">
        <v>171</v>
      </c>
      <c r="E2" s="95" t="s">
        <v>172</v>
      </c>
      <c r="F2" s="95" t="s">
        <v>202</v>
      </c>
      <c r="G2" s="108" t="s">
        <v>182</v>
      </c>
      <c r="H2" s="95" t="s">
        <v>173</v>
      </c>
      <c r="I2" s="95" t="s">
        <v>93</v>
      </c>
    </row>
    <row r="3" spans="1:10" x14ac:dyDescent="0.45">
      <c r="A3" s="162">
        <v>1</v>
      </c>
      <c r="B3" s="96">
        <v>1</v>
      </c>
      <c r="C3" s="162" t="s">
        <v>174</v>
      </c>
      <c r="D3" s="97" t="s">
        <v>175</v>
      </c>
      <c r="E3" s="107">
        <v>1</v>
      </c>
      <c r="F3" s="107">
        <v>2</v>
      </c>
      <c r="G3" s="122">
        <f>'DIURNO CBA'!C166</f>
        <v>5370.2800371240046</v>
      </c>
      <c r="H3" s="122">
        <f>E3*F3*G3</f>
        <v>10740.560074248009</v>
      </c>
      <c r="I3" s="122">
        <f t="shared" ref="I3:I12" si="0">H3*12</f>
        <v>128886.72089097611</v>
      </c>
    </row>
    <row r="4" spans="1:10" x14ac:dyDescent="0.45">
      <c r="A4" s="162"/>
      <c r="B4" s="96">
        <v>2</v>
      </c>
      <c r="C4" s="162"/>
      <c r="D4" s="98" t="s">
        <v>176</v>
      </c>
      <c r="E4" s="98">
        <v>2</v>
      </c>
      <c r="F4" s="98">
        <v>2</v>
      </c>
      <c r="G4" s="122">
        <f>'NOTURNO CBA'!C166</f>
        <v>6345.770306480561</v>
      </c>
      <c r="H4" s="122">
        <f t="shared" ref="H4:H12" si="1">E4*F4*G4</f>
        <v>25383.081225922244</v>
      </c>
      <c r="I4" s="122">
        <f t="shared" si="0"/>
        <v>304596.97471106693</v>
      </c>
    </row>
    <row r="5" spans="1:10" x14ac:dyDescent="0.45">
      <c r="A5" s="162"/>
      <c r="B5" s="96">
        <v>3</v>
      </c>
      <c r="C5" s="162" t="s">
        <v>177</v>
      </c>
      <c r="D5" s="97" t="s">
        <v>175</v>
      </c>
      <c r="E5" s="97">
        <v>1</v>
      </c>
      <c r="F5" s="97">
        <v>2</v>
      </c>
      <c r="G5" s="122">
        <f>'DIURNO BRG'!C166</f>
        <v>5326.5771816783927</v>
      </c>
      <c r="H5" s="122">
        <f t="shared" si="1"/>
        <v>10653.154363356785</v>
      </c>
      <c r="I5" s="122">
        <f t="shared" si="0"/>
        <v>127837.85236028142</v>
      </c>
    </row>
    <row r="6" spans="1:10" x14ac:dyDescent="0.45">
      <c r="A6" s="162"/>
      <c r="B6" s="96">
        <v>4</v>
      </c>
      <c r="C6" s="162"/>
      <c r="D6" s="98" t="s">
        <v>176</v>
      </c>
      <c r="E6" s="98">
        <v>1</v>
      </c>
      <c r="F6" s="98">
        <v>2</v>
      </c>
      <c r="G6" s="122">
        <f>'NOTURNO BRG'!C166</f>
        <v>6391.2599691474461</v>
      </c>
      <c r="H6" s="122">
        <f t="shared" si="1"/>
        <v>12782.519938294892</v>
      </c>
      <c r="I6" s="122">
        <f t="shared" si="0"/>
        <v>153390.23925953871</v>
      </c>
    </row>
    <row r="7" spans="1:10" x14ac:dyDescent="0.45">
      <c r="A7" s="162"/>
      <c r="B7" s="96">
        <v>5</v>
      </c>
      <c r="C7" s="162" t="s">
        <v>178</v>
      </c>
      <c r="D7" s="97" t="s">
        <v>175</v>
      </c>
      <c r="E7" s="97">
        <v>1</v>
      </c>
      <c r="F7" s="97">
        <v>2</v>
      </c>
      <c r="G7" s="122">
        <f>'DIURNO CAE'!C166</f>
        <v>5281.4634203238811</v>
      </c>
      <c r="H7" s="122">
        <f t="shared" si="1"/>
        <v>10562.926840647762</v>
      </c>
      <c r="I7" s="122">
        <f t="shared" si="0"/>
        <v>126755.12208777314</v>
      </c>
    </row>
    <row r="8" spans="1:10" x14ac:dyDescent="0.45">
      <c r="A8" s="162"/>
      <c r="B8" s="96">
        <v>6</v>
      </c>
      <c r="C8" s="162"/>
      <c r="D8" s="98" t="s">
        <v>176</v>
      </c>
      <c r="E8" s="104">
        <v>1</v>
      </c>
      <c r="F8" s="104">
        <v>2</v>
      </c>
      <c r="G8" s="122">
        <f>'NOTURNO CAE'!C166</f>
        <v>6256.9536896804366</v>
      </c>
      <c r="H8" s="122">
        <f t="shared" si="1"/>
        <v>12513.907379360873</v>
      </c>
      <c r="I8" s="122">
        <f t="shared" si="0"/>
        <v>150166.88855233049</v>
      </c>
    </row>
    <row r="9" spans="1:10" x14ac:dyDescent="0.45">
      <c r="A9" s="162"/>
      <c r="B9" s="96">
        <v>7</v>
      </c>
      <c r="C9" s="162" t="s">
        <v>179</v>
      </c>
      <c r="D9" s="97" t="s">
        <v>175</v>
      </c>
      <c r="E9" s="97">
        <v>1</v>
      </c>
      <c r="F9" s="97">
        <v>2</v>
      </c>
      <c r="G9" s="122">
        <f>'DIURNO ROO'!C166</f>
        <v>5333.455072107954</v>
      </c>
      <c r="H9" s="122">
        <f t="shared" si="1"/>
        <v>10666.910144215908</v>
      </c>
      <c r="I9" s="122">
        <f t="shared" si="0"/>
        <v>128002.9217305909</v>
      </c>
    </row>
    <row r="10" spans="1:10" x14ac:dyDescent="0.45">
      <c r="A10" s="162"/>
      <c r="B10" s="96">
        <v>8</v>
      </c>
      <c r="C10" s="162"/>
      <c r="D10" s="98" t="s">
        <v>176</v>
      </c>
      <c r="E10" s="98">
        <v>1</v>
      </c>
      <c r="F10" s="98">
        <v>2</v>
      </c>
      <c r="G10" s="122">
        <f>'NOTURNO ROO'!C166</f>
        <v>6308.9453414645104</v>
      </c>
      <c r="H10" s="122">
        <f t="shared" si="1"/>
        <v>12617.890682929021</v>
      </c>
      <c r="I10" s="122">
        <f t="shared" si="0"/>
        <v>151414.68819514825</v>
      </c>
    </row>
    <row r="11" spans="1:10" x14ac:dyDescent="0.45">
      <c r="A11" s="162"/>
      <c r="B11" s="96">
        <v>9</v>
      </c>
      <c r="C11" s="162" t="s">
        <v>180</v>
      </c>
      <c r="D11" s="97" t="s">
        <v>175</v>
      </c>
      <c r="E11" s="97">
        <v>1</v>
      </c>
      <c r="F11" s="97">
        <v>2</v>
      </c>
      <c r="G11" s="122">
        <f>'DIURNO SIC'!C166</f>
        <v>5237.9731088917015</v>
      </c>
      <c r="H11" s="122">
        <f t="shared" si="1"/>
        <v>10475.946217783403</v>
      </c>
      <c r="I11" s="122">
        <f t="shared" si="0"/>
        <v>125711.35461340084</v>
      </c>
    </row>
    <row r="12" spans="1:10" x14ac:dyDescent="0.45">
      <c r="A12" s="162"/>
      <c r="B12" s="96">
        <v>10</v>
      </c>
      <c r="C12" s="162"/>
      <c r="D12" s="98" t="s">
        <v>176</v>
      </c>
      <c r="E12" s="98">
        <v>1</v>
      </c>
      <c r="F12" s="98">
        <v>2</v>
      </c>
      <c r="G12" s="122">
        <f>'NOTURNO SIC'!C166</f>
        <v>6256.9536896804366</v>
      </c>
      <c r="H12" s="122">
        <f t="shared" si="1"/>
        <v>12513.907379360873</v>
      </c>
      <c r="I12" s="122">
        <f t="shared" si="0"/>
        <v>150166.88855233049</v>
      </c>
    </row>
    <row r="13" spans="1:10" x14ac:dyDescent="0.45">
      <c r="A13" s="158" t="s">
        <v>86</v>
      </c>
      <c r="B13" s="158"/>
      <c r="C13" s="158"/>
      <c r="D13" s="158"/>
      <c r="E13" s="99">
        <f>SUM(E3:E12)</f>
        <v>11</v>
      </c>
      <c r="F13" s="103"/>
      <c r="G13" s="123"/>
      <c r="H13" s="123">
        <f>SUM(H3:H12)</f>
        <v>128910.80424611978</v>
      </c>
      <c r="I13" s="124">
        <f>SUM(I3:I12)</f>
        <v>1546929.6509534372</v>
      </c>
      <c r="J13" s="163"/>
    </row>
    <row r="14" spans="1:10" x14ac:dyDescent="0.45">
      <c r="J14" s="163"/>
    </row>
    <row r="15" spans="1:10" x14ac:dyDescent="0.45">
      <c r="J15" s="163"/>
    </row>
  </sheetData>
  <mergeCells count="8">
    <mergeCell ref="A13:D13"/>
    <mergeCell ref="A1:I1"/>
    <mergeCell ref="A3:A12"/>
    <mergeCell ref="C3:C4"/>
    <mergeCell ref="C5:C6"/>
    <mergeCell ref="C7:C8"/>
    <mergeCell ref="C9:C10"/>
    <mergeCell ref="C11:C12"/>
  </mergeCells>
  <pageMargins left="0.511811024" right="0.511811024" top="0.78740157499999996" bottom="0.78740157499999996" header="0.31496062000000002" footer="0.31496062000000002"/>
  <pageSetup paperSize="9" scale="6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8FEBE6-F526-401B-9649-566A13A6B1CA}">
  <sheetPr>
    <pageSetUpPr fitToPage="1"/>
  </sheetPr>
  <dimension ref="A1:F171"/>
  <sheetViews>
    <sheetView showGridLines="0" topLeftCell="A64" zoomScale="115" zoomScaleNormal="115" workbookViewId="0">
      <selection activeCell="E90" sqref="E90"/>
    </sheetView>
  </sheetViews>
  <sheetFormatPr defaultColWidth="9.15234375" defaultRowHeight="12.9" x14ac:dyDescent="0.35"/>
  <cols>
    <col min="1" max="1" width="9.15234375" style="14"/>
    <col min="2" max="2" width="72.15234375" style="14" customWidth="1"/>
    <col min="3" max="3" width="27.69140625" style="14" customWidth="1"/>
    <col min="4" max="4" width="15.3046875" style="14" bestFit="1" customWidth="1"/>
    <col min="5" max="5" width="14.69140625" style="14" customWidth="1"/>
    <col min="6" max="6" width="12" style="14" customWidth="1"/>
    <col min="7" max="7" width="15.15234375" style="14" customWidth="1"/>
    <col min="8" max="16384" width="9.15234375" style="14"/>
  </cols>
  <sheetData>
    <row r="1" spans="1:3" x14ac:dyDescent="0.35">
      <c r="A1" s="142" t="s">
        <v>107</v>
      </c>
      <c r="B1" s="142"/>
      <c r="C1" s="142"/>
    </row>
    <row r="2" spans="1:3" x14ac:dyDescent="0.35">
      <c r="A2" s="143" t="s">
        <v>200</v>
      </c>
      <c r="B2" s="143"/>
      <c r="C2" s="143"/>
    </row>
    <row r="3" spans="1:3" x14ac:dyDescent="0.35">
      <c r="A3" s="74"/>
      <c r="B3" s="74"/>
      <c r="C3" s="74"/>
    </row>
    <row r="4" spans="1:3" ht="12.9" customHeight="1" x14ac:dyDescent="0.35">
      <c r="A4" s="144" t="s">
        <v>201</v>
      </c>
      <c r="B4" s="144"/>
      <c r="C4" s="144"/>
    </row>
    <row r="5" spans="1:3" x14ac:dyDescent="0.35">
      <c r="A5" s="145" t="s">
        <v>154</v>
      </c>
      <c r="B5" s="145"/>
      <c r="C5" s="145"/>
    </row>
    <row r="6" spans="1:3" x14ac:dyDescent="0.35">
      <c r="A6" s="146" t="s">
        <v>157</v>
      </c>
      <c r="B6" s="146"/>
      <c r="C6" s="146"/>
    </row>
    <row r="10" spans="1:3" x14ac:dyDescent="0.35">
      <c r="A10" s="147" t="s">
        <v>108</v>
      </c>
      <c r="B10" s="147"/>
      <c r="C10" s="147"/>
    </row>
    <row r="11" spans="1:3" x14ac:dyDescent="0.35">
      <c r="A11" s="30" t="s">
        <v>14</v>
      </c>
      <c r="B11" s="29" t="s">
        <v>109</v>
      </c>
      <c r="C11" s="16" t="s">
        <v>110</v>
      </c>
    </row>
    <row r="12" spans="1:3" x14ac:dyDescent="0.35">
      <c r="A12" s="30" t="s">
        <v>15</v>
      </c>
      <c r="B12" s="29" t="s">
        <v>111</v>
      </c>
      <c r="C12" s="17" t="s">
        <v>196</v>
      </c>
    </row>
    <row r="13" spans="1:3" ht="15.65" customHeight="1" x14ac:dyDescent="0.35">
      <c r="A13" s="30" t="s">
        <v>16</v>
      </c>
      <c r="B13" s="29" t="s">
        <v>112</v>
      </c>
      <c r="C13" s="94" t="s">
        <v>156</v>
      </c>
    </row>
    <row r="14" spans="1:3" x14ac:dyDescent="0.35">
      <c r="A14" s="30" t="s">
        <v>17</v>
      </c>
      <c r="B14" s="29" t="s">
        <v>113</v>
      </c>
      <c r="C14" s="18">
        <v>12</v>
      </c>
    </row>
    <row r="17" spans="1:3" ht="15" customHeight="1" x14ac:dyDescent="0.35">
      <c r="A17" s="147" t="s">
        <v>128</v>
      </c>
      <c r="B17" s="147"/>
      <c r="C17" s="147"/>
    </row>
    <row r="18" spans="1:3" ht="25.75" x14ac:dyDescent="0.35">
      <c r="A18" s="30">
        <v>1</v>
      </c>
      <c r="B18" s="28" t="s">
        <v>114</v>
      </c>
      <c r="C18" s="100" t="s">
        <v>115</v>
      </c>
    </row>
    <row r="19" spans="1:3" ht="15" customHeight="1" x14ac:dyDescent="0.35">
      <c r="A19" s="30">
        <v>2</v>
      </c>
      <c r="B19" s="27" t="s">
        <v>116</v>
      </c>
      <c r="C19" s="19" t="s">
        <v>117</v>
      </c>
    </row>
    <row r="20" spans="1:3" ht="15" customHeight="1" x14ac:dyDescent="0.35">
      <c r="A20" s="30">
        <v>3</v>
      </c>
      <c r="B20" s="27" t="s">
        <v>118</v>
      </c>
      <c r="C20" s="105">
        <v>1</v>
      </c>
    </row>
    <row r="21" spans="1:3" ht="15" customHeight="1" x14ac:dyDescent="0.35">
      <c r="A21" s="30">
        <v>4</v>
      </c>
      <c r="B21" s="15" t="s">
        <v>119</v>
      </c>
      <c r="C21" s="21" t="s">
        <v>120</v>
      </c>
    </row>
    <row r="23" spans="1:3" ht="15" customHeight="1" x14ac:dyDescent="0.35"/>
    <row r="24" spans="1:3" ht="15" customHeight="1" x14ac:dyDescent="0.35">
      <c r="A24" s="147" t="s">
        <v>121</v>
      </c>
      <c r="B24" s="147"/>
      <c r="C24" s="147"/>
    </row>
    <row r="25" spans="1:3" ht="15" customHeight="1" x14ac:dyDescent="0.35">
      <c r="A25" s="30">
        <v>1</v>
      </c>
      <c r="B25" s="22" t="s">
        <v>122</v>
      </c>
      <c r="C25" s="23" t="s">
        <v>123</v>
      </c>
    </row>
    <row r="26" spans="1:3" ht="15" customHeight="1" x14ac:dyDescent="0.35">
      <c r="A26" s="30">
        <v>2</v>
      </c>
      <c r="B26" s="22" t="s">
        <v>124</v>
      </c>
      <c r="C26" s="24" t="s">
        <v>125</v>
      </c>
    </row>
    <row r="27" spans="1:3" ht="15" customHeight="1" x14ac:dyDescent="0.35">
      <c r="A27" s="30">
        <v>3</v>
      </c>
      <c r="B27" s="25" t="s">
        <v>155</v>
      </c>
      <c r="C27" s="41">
        <v>1449.96</v>
      </c>
    </row>
    <row r="28" spans="1:3" ht="15" customHeight="1" x14ac:dyDescent="0.35">
      <c r="A28" s="30">
        <v>4</v>
      </c>
      <c r="B28" s="22" t="s">
        <v>126</v>
      </c>
      <c r="C28" s="21" t="s">
        <v>120</v>
      </c>
    </row>
    <row r="29" spans="1:3" ht="15" customHeight="1" x14ac:dyDescent="0.35">
      <c r="A29" s="30">
        <v>5</v>
      </c>
      <c r="B29" s="22" t="s">
        <v>127</v>
      </c>
      <c r="C29" s="26">
        <v>44562</v>
      </c>
    </row>
    <row r="31" spans="1:3" ht="13.3" thickBot="1" x14ac:dyDescent="0.4"/>
    <row r="32" spans="1:3" ht="16.3" thickBot="1" x14ac:dyDescent="0.4">
      <c r="A32" s="135" t="s">
        <v>11</v>
      </c>
      <c r="B32" s="136"/>
      <c r="C32" s="137"/>
    </row>
    <row r="34" spans="1:3" x14ac:dyDescent="0.35">
      <c r="A34" s="101">
        <v>1</v>
      </c>
      <c r="B34" s="101" t="s">
        <v>12</v>
      </c>
      <c r="C34" s="101" t="s">
        <v>13</v>
      </c>
    </row>
    <row r="35" spans="1:3" x14ac:dyDescent="0.35">
      <c r="A35" s="30" t="s">
        <v>14</v>
      </c>
      <c r="B35" s="45" t="s">
        <v>159</v>
      </c>
      <c r="C35" s="56">
        <f>C27</f>
        <v>1449.96</v>
      </c>
    </row>
    <row r="36" spans="1:3" x14ac:dyDescent="0.35">
      <c r="A36" s="30" t="s">
        <v>15</v>
      </c>
      <c r="B36" s="45" t="s">
        <v>160</v>
      </c>
      <c r="C36" s="56">
        <f>C35*30%</f>
        <v>434.988</v>
      </c>
    </row>
    <row r="37" spans="1:3" x14ac:dyDescent="0.35">
      <c r="A37" s="30" t="s">
        <v>17</v>
      </c>
      <c r="B37" s="52" t="s">
        <v>161</v>
      </c>
      <c r="C37" s="69">
        <f>(C35+C36)*58.33%*20%</f>
        <v>219.89803368</v>
      </c>
    </row>
    <row r="38" spans="1:3" x14ac:dyDescent="0.35">
      <c r="A38" s="30" t="s">
        <v>18</v>
      </c>
      <c r="B38" s="52" t="s">
        <v>129</v>
      </c>
      <c r="C38" s="69">
        <f>(C35+C36)*8.33%*1.2</f>
        <v>188.41940208</v>
      </c>
    </row>
    <row r="39" spans="1:3" x14ac:dyDescent="0.35">
      <c r="A39" s="30" t="s">
        <v>20</v>
      </c>
      <c r="B39" s="45" t="s">
        <v>22</v>
      </c>
      <c r="C39" s="56">
        <v>0</v>
      </c>
    </row>
    <row r="40" spans="1:3" x14ac:dyDescent="0.35">
      <c r="A40" s="129" t="s">
        <v>1</v>
      </c>
      <c r="B40" s="129"/>
      <c r="C40" s="57">
        <f>SUM(C35:C39)</f>
        <v>2293.2654357599999</v>
      </c>
    </row>
    <row r="42" spans="1:3" ht="13.3" thickBot="1" x14ac:dyDescent="0.4"/>
    <row r="43" spans="1:3" ht="16.3" thickBot="1" x14ac:dyDescent="0.4">
      <c r="A43" s="135" t="s">
        <v>23</v>
      </c>
      <c r="B43" s="136"/>
      <c r="C43" s="137"/>
    </row>
    <row r="44" spans="1:3" x14ac:dyDescent="0.35">
      <c r="A44" s="32"/>
    </row>
    <row r="45" spans="1:3" x14ac:dyDescent="0.35">
      <c r="A45" s="138" t="s">
        <v>24</v>
      </c>
      <c r="B45" s="138"/>
      <c r="C45" s="138"/>
    </row>
    <row r="47" spans="1:3" x14ac:dyDescent="0.35">
      <c r="A47" s="101" t="s">
        <v>25</v>
      </c>
      <c r="B47" s="101" t="s">
        <v>26</v>
      </c>
      <c r="C47" s="101" t="s">
        <v>13</v>
      </c>
    </row>
    <row r="48" spans="1:3" x14ac:dyDescent="0.35">
      <c r="A48" s="30" t="s">
        <v>14</v>
      </c>
      <c r="B48" s="45" t="s">
        <v>27</v>
      </c>
      <c r="C48" s="56">
        <f>C40/12</f>
        <v>191.10545298</v>
      </c>
    </row>
    <row r="49" spans="1:4" x14ac:dyDescent="0.35">
      <c r="A49" s="30" t="s">
        <v>15</v>
      </c>
      <c r="B49" s="45" t="s">
        <v>74</v>
      </c>
      <c r="C49" s="56">
        <f>C40/12</f>
        <v>191.10545298</v>
      </c>
    </row>
    <row r="50" spans="1:4" x14ac:dyDescent="0.35">
      <c r="A50" s="30" t="s">
        <v>16</v>
      </c>
      <c r="B50" s="45" t="s">
        <v>75</v>
      </c>
      <c r="C50" s="56">
        <f>(C40/12)/3</f>
        <v>63.701817659999996</v>
      </c>
    </row>
    <row r="51" spans="1:4" x14ac:dyDescent="0.35">
      <c r="A51" s="129" t="s">
        <v>1</v>
      </c>
      <c r="B51" s="129"/>
      <c r="C51" s="57">
        <f>SUM(C48:C50)</f>
        <v>445.91272362000001</v>
      </c>
    </row>
    <row r="54" spans="1:4" ht="32.25" customHeight="1" x14ac:dyDescent="0.35">
      <c r="A54" s="139" t="s">
        <v>28</v>
      </c>
      <c r="B54" s="139"/>
      <c r="C54" s="139"/>
      <c r="D54" s="139"/>
    </row>
    <row r="56" spans="1:4" x14ac:dyDescent="0.35">
      <c r="A56" s="101" t="s">
        <v>29</v>
      </c>
      <c r="B56" s="101" t="s">
        <v>30</v>
      </c>
      <c r="C56" s="101" t="s">
        <v>31</v>
      </c>
      <c r="D56" s="101" t="s">
        <v>13</v>
      </c>
    </row>
    <row r="57" spans="1:4" x14ac:dyDescent="0.35">
      <c r="A57" s="30" t="s">
        <v>14</v>
      </c>
      <c r="B57" s="45" t="s">
        <v>32</v>
      </c>
      <c r="C57" s="65">
        <v>0.2</v>
      </c>
      <c r="D57" s="56">
        <f>(C40+C51)*C57</f>
        <v>547.83563187600009</v>
      </c>
    </row>
    <row r="58" spans="1:4" x14ac:dyDescent="0.35">
      <c r="A58" s="30" t="s">
        <v>15</v>
      </c>
      <c r="B58" s="45" t="s">
        <v>33</v>
      </c>
      <c r="C58" s="65">
        <v>2.5000000000000001E-2</v>
      </c>
      <c r="D58" s="56">
        <f>(C40+C51)*C58</f>
        <v>68.479453984500012</v>
      </c>
    </row>
    <row r="59" spans="1:4" x14ac:dyDescent="0.35">
      <c r="A59" s="30" t="s">
        <v>16</v>
      </c>
      <c r="B59" s="45" t="s">
        <v>34</v>
      </c>
      <c r="C59" s="66">
        <v>0.03</v>
      </c>
      <c r="D59" s="56">
        <f>(C40+C51)*C59</f>
        <v>82.1753447814</v>
      </c>
    </row>
    <row r="60" spans="1:4" x14ac:dyDescent="0.35">
      <c r="A60" s="30" t="s">
        <v>17</v>
      </c>
      <c r="B60" s="45" t="s">
        <v>35</v>
      </c>
      <c r="C60" s="65">
        <v>1.4999999999999999E-2</v>
      </c>
      <c r="D60" s="56">
        <f>(C40+C51)*C60</f>
        <v>41.0876723907</v>
      </c>
    </row>
    <row r="61" spans="1:4" x14ac:dyDescent="0.35">
      <c r="A61" s="30" t="s">
        <v>18</v>
      </c>
      <c r="B61" s="45" t="s">
        <v>36</v>
      </c>
      <c r="C61" s="65">
        <v>0.01</v>
      </c>
      <c r="D61" s="56">
        <f>(C40+C51)*C61</f>
        <v>27.391781593800001</v>
      </c>
    </row>
    <row r="62" spans="1:4" x14ac:dyDescent="0.35">
      <c r="A62" s="30" t="s">
        <v>20</v>
      </c>
      <c r="B62" s="45" t="s">
        <v>3</v>
      </c>
      <c r="C62" s="65">
        <v>6.0000000000000001E-3</v>
      </c>
      <c r="D62" s="56">
        <f>(C40+C40)*C62</f>
        <v>27.519185229120001</v>
      </c>
    </row>
    <row r="63" spans="1:4" x14ac:dyDescent="0.35">
      <c r="A63" s="30" t="s">
        <v>21</v>
      </c>
      <c r="B63" s="45" t="s">
        <v>4</v>
      </c>
      <c r="C63" s="65">
        <v>2E-3</v>
      </c>
      <c r="D63" s="56">
        <f>(C40+C51)*C63</f>
        <v>5.4783563187600004</v>
      </c>
    </row>
    <row r="64" spans="1:4" x14ac:dyDescent="0.35">
      <c r="A64" s="140" t="s">
        <v>76</v>
      </c>
      <c r="B64" s="140"/>
      <c r="C64" s="67">
        <f>SUM(C57:C63)</f>
        <v>0.28800000000000003</v>
      </c>
      <c r="D64" s="68">
        <f>SUM(D57:D63)</f>
        <v>799.96742617428015</v>
      </c>
    </row>
    <row r="65" spans="1:4" x14ac:dyDescent="0.35">
      <c r="A65" s="30" t="s">
        <v>37</v>
      </c>
      <c r="B65" s="45" t="s">
        <v>5</v>
      </c>
      <c r="C65" s="65">
        <v>0.08</v>
      </c>
      <c r="D65" s="56">
        <f>(C40+C51)*C65</f>
        <v>219.13425275040001</v>
      </c>
    </row>
    <row r="66" spans="1:4" x14ac:dyDescent="0.35">
      <c r="A66" s="129" t="s">
        <v>38</v>
      </c>
      <c r="B66" s="129"/>
      <c r="C66" s="65">
        <f>SUM(C64:C65)</f>
        <v>0.36800000000000005</v>
      </c>
      <c r="D66" s="57">
        <f>SUM(D64:D65)</f>
        <v>1019.1016789246802</v>
      </c>
    </row>
    <row r="69" spans="1:4" x14ac:dyDescent="0.35">
      <c r="A69" s="138" t="s">
        <v>39</v>
      </c>
      <c r="B69" s="138"/>
      <c r="C69" s="138"/>
    </row>
    <row r="71" spans="1:4" x14ac:dyDescent="0.35">
      <c r="A71" s="101" t="s">
        <v>40</v>
      </c>
      <c r="B71" s="101" t="s">
        <v>41</v>
      </c>
      <c r="C71" s="101" t="s">
        <v>13</v>
      </c>
    </row>
    <row r="72" spans="1:4" x14ac:dyDescent="0.35">
      <c r="A72" s="30" t="s">
        <v>14</v>
      </c>
      <c r="B72" s="45" t="s">
        <v>194</v>
      </c>
      <c r="C72" s="56">
        <f>(6*2*15)-(C35/100)*6</f>
        <v>93.002399999999994</v>
      </c>
    </row>
    <row r="73" spans="1:4" x14ac:dyDescent="0.35">
      <c r="A73" s="30" t="s">
        <v>15</v>
      </c>
      <c r="B73" s="45" t="s">
        <v>204</v>
      </c>
      <c r="C73" s="56">
        <f>(23.13*15)-(23.13*15*2%)</f>
        <v>340.01099999999997</v>
      </c>
    </row>
    <row r="74" spans="1:4" x14ac:dyDescent="0.35">
      <c r="A74" s="30" t="s">
        <v>16</v>
      </c>
      <c r="B74" s="45" t="s">
        <v>162</v>
      </c>
      <c r="C74" s="56">
        <v>45</v>
      </c>
    </row>
    <row r="75" spans="1:4" x14ac:dyDescent="0.35">
      <c r="A75" s="30" t="s">
        <v>17</v>
      </c>
      <c r="B75" s="1" t="s">
        <v>77</v>
      </c>
      <c r="C75" s="56"/>
    </row>
    <row r="76" spans="1:4" x14ac:dyDescent="0.35">
      <c r="A76" s="129" t="s">
        <v>1</v>
      </c>
      <c r="B76" s="129"/>
      <c r="C76" s="57">
        <f>SUM(C72:C75)</f>
        <v>478.01339999999993</v>
      </c>
    </row>
    <row r="79" spans="1:4" x14ac:dyDescent="0.35">
      <c r="A79" s="138" t="s">
        <v>42</v>
      </c>
      <c r="B79" s="138"/>
      <c r="C79" s="138"/>
    </row>
    <row r="81" spans="1:4" x14ac:dyDescent="0.35">
      <c r="A81" s="101">
        <v>2</v>
      </c>
      <c r="B81" s="101" t="s">
        <v>43</v>
      </c>
      <c r="C81" s="101" t="s">
        <v>13</v>
      </c>
    </row>
    <row r="82" spans="1:4" x14ac:dyDescent="0.35">
      <c r="A82" s="30" t="s">
        <v>25</v>
      </c>
      <c r="B82" s="45" t="s">
        <v>26</v>
      </c>
      <c r="C82" s="47">
        <f>C51</f>
        <v>445.91272362000001</v>
      </c>
    </row>
    <row r="83" spans="1:4" x14ac:dyDescent="0.35">
      <c r="A83" s="30" t="s">
        <v>29</v>
      </c>
      <c r="B83" s="45" t="s">
        <v>30</v>
      </c>
      <c r="C83" s="47">
        <f>D66</f>
        <v>1019.1016789246802</v>
      </c>
    </row>
    <row r="84" spans="1:4" x14ac:dyDescent="0.35">
      <c r="A84" s="30" t="s">
        <v>40</v>
      </c>
      <c r="B84" s="45" t="s">
        <v>41</v>
      </c>
      <c r="C84" s="47">
        <f>C76</f>
        <v>478.01339999999993</v>
      </c>
    </row>
    <row r="85" spans="1:4" x14ac:dyDescent="0.35">
      <c r="A85" s="129" t="s">
        <v>1</v>
      </c>
      <c r="B85" s="129"/>
      <c r="C85" s="50">
        <f>SUM(C82:C84)</f>
        <v>1943.0278025446801</v>
      </c>
    </row>
    <row r="86" spans="1:4" x14ac:dyDescent="0.35">
      <c r="A86" s="33"/>
    </row>
    <row r="87" spans="1:4" ht="13.3" thickBot="1" x14ac:dyDescent="0.4"/>
    <row r="88" spans="1:4" ht="16.3" thickBot="1" x14ac:dyDescent="0.4">
      <c r="A88" s="135" t="s">
        <v>44</v>
      </c>
      <c r="B88" s="136"/>
      <c r="C88" s="137"/>
    </row>
    <row r="90" spans="1:4" x14ac:dyDescent="0.35">
      <c r="A90" s="101">
        <v>3</v>
      </c>
      <c r="B90" s="101" t="s">
        <v>45</v>
      </c>
      <c r="C90" s="101" t="s">
        <v>13</v>
      </c>
    </row>
    <row r="91" spans="1:4" x14ac:dyDescent="0.35">
      <c r="A91" s="30" t="s">
        <v>14</v>
      </c>
      <c r="B91" s="60" t="s">
        <v>149</v>
      </c>
      <c r="C91" s="56">
        <f>(C40+C85-D64)/12</f>
        <v>286.36048434419996</v>
      </c>
      <c r="D91" s="34"/>
    </row>
    <row r="92" spans="1:4" x14ac:dyDescent="0.35">
      <c r="A92" s="30" t="s">
        <v>15</v>
      </c>
      <c r="B92" s="60" t="s">
        <v>46</v>
      </c>
      <c r="C92" s="61">
        <f>C91*8%</f>
        <v>22.908838747535999</v>
      </c>
    </row>
    <row r="93" spans="1:4" x14ac:dyDescent="0.35">
      <c r="A93" s="30" t="s">
        <v>16</v>
      </c>
      <c r="B93" s="60" t="s">
        <v>47</v>
      </c>
      <c r="C93" s="61">
        <f>(D65*50%)</f>
        <v>109.5671263752</v>
      </c>
    </row>
    <row r="94" spans="1:4" x14ac:dyDescent="0.35">
      <c r="A94" s="141" t="s">
        <v>78</v>
      </c>
      <c r="B94" s="141"/>
      <c r="C94" s="57">
        <f>(C91+C93)*59.06%</f>
        <v>233.83484689087763</v>
      </c>
    </row>
    <row r="95" spans="1:4" ht="25.75" x14ac:dyDescent="0.35">
      <c r="A95" s="30" t="s">
        <v>17</v>
      </c>
      <c r="B95" s="62" t="s">
        <v>150</v>
      </c>
      <c r="C95" s="61">
        <f>(C40+C85)/12</f>
        <v>353.02443652539</v>
      </c>
    </row>
    <row r="96" spans="1:4" x14ac:dyDescent="0.35">
      <c r="A96" s="30" t="s">
        <v>18</v>
      </c>
      <c r="B96" s="60" t="s">
        <v>48</v>
      </c>
      <c r="C96" s="56">
        <f>(C95*C66)</f>
        <v>129.91299264134355</v>
      </c>
    </row>
    <row r="97" spans="1:4" x14ac:dyDescent="0.35">
      <c r="A97" s="30" t="s">
        <v>20</v>
      </c>
      <c r="B97" s="60" t="s">
        <v>49</v>
      </c>
      <c r="C97" s="56">
        <f>C93</f>
        <v>109.5671263752</v>
      </c>
    </row>
    <row r="98" spans="1:4" x14ac:dyDescent="0.35">
      <c r="A98" s="141" t="s">
        <v>79</v>
      </c>
      <c r="B98" s="141"/>
      <c r="C98" s="57">
        <f>(C95+C97)*6.56%</f>
        <v>30.3460065262787</v>
      </c>
    </row>
    <row r="99" spans="1:4" x14ac:dyDescent="0.35">
      <c r="A99" s="129" t="s">
        <v>80</v>
      </c>
      <c r="B99" s="129"/>
      <c r="C99" s="63">
        <f>C51*4.51%</f>
        <v>20.110663835262002</v>
      </c>
    </row>
    <row r="100" spans="1:4" x14ac:dyDescent="0.35">
      <c r="A100" s="134" t="s">
        <v>81</v>
      </c>
      <c r="B100" s="134"/>
      <c r="C100" s="64">
        <f>(C94+C98)-C99</f>
        <v>244.07018958189428</v>
      </c>
    </row>
    <row r="102" spans="1:4" ht="13.3" thickBot="1" x14ac:dyDescent="0.4"/>
    <row r="103" spans="1:4" ht="16.3" thickBot="1" x14ac:dyDescent="0.4">
      <c r="A103" s="135" t="s">
        <v>50</v>
      </c>
      <c r="B103" s="136"/>
      <c r="C103" s="137"/>
    </row>
    <row r="105" spans="1:4" x14ac:dyDescent="0.35">
      <c r="A105" s="138" t="s">
        <v>51</v>
      </c>
      <c r="B105" s="138"/>
      <c r="C105" s="138"/>
    </row>
    <row r="106" spans="1:4" x14ac:dyDescent="0.35">
      <c r="A106" s="32"/>
    </row>
    <row r="107" spans="1:4" x14ac:dyDescent="0.35">
      <c r="A107" s="101" t="s">
        <v>52</v>
      </c>
      <c r="B107" s="101" t="s">
        <v>53</v>
      </c>
      <c r="C107" s="101" t="s">
        <v>13</v>
      </c>
    </row>
    <row r="108" spans="1:4" x14ac:dyDescent="0.35">
      <c r="A108" s="30" t="s">
        <v>14</v>
      </c>
      <c r="B108" s="45" t="s">
        <v>2</v>
      </c>
      <c r="C108" s="59"/>
    </row>
    <row r="109" spans="1:4" x14ac:dyDescent="0.35">
      <c r="A109" s="30" t="s">
        <v>15</v>
      </c>
      <c r="B109" s="45" t="s">
        <v>130</v>
      </c>
      <c r="C109" s="47">
        <f>(C100+C85+C40)/30*21.3562/12</f>
        <v>265.7876039961979</v>
      </c>
      <c r="D109" s="37"/>
    </row>
    <row r="110" spans="1:4" x14ac:dyDescent="0.35">
      <c r="A110" s="30" t="s">
        <v>16</v>
      </c>
      <c r="B110" s="45" t="s">
        <v>54</v>
      </c>
      <c r="C110" s="47"/>
    </row>
    <row r="111" spans="1:4" x14ac:dyDescent="0.35">
      <c r="A111" s="30" t="s">
        <v>17</v>
      </c>
      <c r="B111" s="45" t="s">
        <v>55</v>
      </c>
      <c r="C111" s="47"/>
    </row>
    <row r="112" spans="1:4" x14ac:dyDescent="0.35">
      <c r="A112" s="30" t="s">
        <v>18</v>
      </c>
      <c r="B112" s="45" t="s">
        <v>56</v>
      </c>
      <c r="C112" s="47"/>
    </row>
    <row r="113" spans="1:3" x14ac:dyDescent="0.35">
      <c r="A113" s="30" t="s">
        <v>20</v>
      </c>
      <c r="B113" s="45" t="s">
        <v>22</v>
      </c>
      <c r="C113" s="30"/>
    </row>
    <row r="114" spans="1:3" x14ac:dyDescent="0.35">
      <c r="A114" s="129" t="s">
        <v>38</v>
      </c>
      <c r="B114" s="129"/>
      <c r="C114" s="50">
        <f>SUM(C108:C113)</f>
        <v>265.7876039961979</v>
      </c>
    </row>
    <row r="117" spans="1:3" x14ac:dyDescent="0.35">
      <c r="A117" s="138" t="s">
        <v>57</v>
      </c>
      <c r="B117" s="138"/>
      <c r="C117" s="138"/>
    </row>
    <row r="118" spans="1:3" x14ac:dyDescent="0.35">
      <c r="A118" s="32"/>
    </row>
    <row r="119" spans="1:3" x14ac:dyDescent="0.35">
      <c r="A119" s="101" t="s">
        <v>58</v>
      </c>
      <c r="B119" s="101" t="s">
        <v>59</v>
      </c>
      <c r="C119" s="101" t="s">
        <v>13</v>
      </c>
    </row>
    <row r="120" spans="1:3" x14ac:dyDescent="0.35">
      <c r="A120" s="30" t="s">
        <v>14</v>
      </c>
      <c r="B120" s="45" t="s">
        <v>166</v>
      </c>
      <c r="C120" s="56">
        <f>(C40+C85+C100)/220*15</f>
        <v>305.47932462863008</v>
      </c>
    </row>
    <row r="121" spans="1:3" x14ac:dyDescent="0.35">
      <c r="A121" s="129" t="s">
        <v>1</v>
      </c>
      <c r="B121" s="129"/>
      <c r="C121" s="57">
        <f>C120</f>
        <v>305.47932462863008</v>
      </c>
    </row>
    <row r="124" spans="1:3" x14ac:dyDescent="0.35">
      <c r="A124" s="138" t="s">
        <v>60</v>
      </c>
      <c r="B124" s="138"/>
      <c r="C124" s="138"/>
    </row>
    <row r="125" spans="1:3" x14ac:dyDescent="0.35">
      <c r="A125" s="32"/>
    </row>
    <row r="126" spans="1:3" x14ac:dyDescent="0.35">
      <c r="A126" s="101">
        <v>4</v>
      </c>
      <c r="B126" s="102" t="s">
        <v>61</v>
      </c>
      <c r="C126" s="101" t="s">
        <v>13</v>
      </c>
    </row>
    <row r="127" spans="1:3" x14ac:dyDescent="0.35">
      <c r="A127" s="30" t="s">
        <v>52</v>
      </c>
      <c r="B127" s="45" t="s">
        <v>53</v>
      </c>
      <c r="C127" s="47">
        <f>C114</f>
        <v>265.7876039961979</v>
      </c>
    </row>
    <row r="128" spans="1:3" x14ac:dyDescent="0.35">
      <c r="A128" s="30" t="s">
        <v>58</v>
      </c>
      <c r="B128" s="45" t="s">
        <v>165</v>
      </c>
      <c r="C128" s="47">
        <f>(C100+C85+C40)/220*15</f>
        <v>305.47932462863008</v>
      </c>
    </row>
    <row r="129" spans="1:4" x14ac:dyDescent="0.35">
      <c r="A129" s="129" t="s">
        <v>1</v>
      </c>
      <c r="B129" s="129"/>
      <c r="C129" s="50">
        <f>SUM(C127:C128)</f>
        <v>571.26692862482798</v>
      </c>
    </row>
    <row r="131" spans="1:4" ht="13.3" thickBot="1" x14ac:dyDescent="0.4"/>
    <row r="132" spans="1:4" ht="16.3" thickBot="1" x14ac:dyDescent="0.4">
      <c r="A132" s="135" t="s">
        <v>62</v>
      </c>
      <c r="B132" s="136"/>
      <c r="C132" s="137"/>
    </row>
    <row r="134" spans="1:4" x14ac:dyDescent="0.35">
      <c r="A134" s="101">
        <v>5</v>
      </c>
      <c r="B134" s="44" t="s">
        <v>6</v>
      </c>
      <c r="C134" s="101" t="s">
        <v>13</v>
      </c>
    </row>
    <row r="135" spans="1:4" x14ac:dyDescent="0.35">
      <c r="A135" s="30" t="s">
        <v>14</v>
      </c>
      <c r="B135" s="45" t="s">
        <v>63</v>
      </c>
      <c r="C135" s="56">
        <f>INSUMOS!E12</f>
        <v>106.48583333333336</v>
      </c>
    </row>
    <row r="136" spans="1:4" x14ac:dyDescent="0.35">
      <c r="A136" s="30" t="s">
        <v>15</v>
      </c>
      <c r="B136" s="45" t="s">
        <v>64</v>
      </c>
      <c r="C136" s="56">
        <f>INSUMOS!E26</f>
        <v>35.888333333333328</v>
      </c>
    </row>
    <row r="137" spans="1:4" x14ac:dyDescent="0.35">
      <c r="A137" s="30" t="s">
        <v>16</v>
      </c>
      <c r="B137" s="45" t="s">
        <v>143</v>
      </c>
      <c r="C137" s="56">
        <f>INSUMOS!E43</f>
        <v>68.890708333333336</v>
      </c>
    </row>
    <row r="138" spans="1:4" x14ac:dyDescent="0.35">
      <c r="A138" s="30" t="s">
        <v>17</v>
      </c>
      <c r="B138" s="45" t="s">
        <v>77</v>
      </c>
      <c r="C138" s="56"/>
      <c r="D138" s="38"/>
    </row>
    <row r="139" spans="1:4" x14ac:dyDescent="0.35">
      <c r="A139" s="129" t="s">
        <v>38</v>
      </c>
      <c r="B139" s="129"/>
      <c r="C139" s="57">
        <f>SUM(C135:C138)</f>
        <v>211.26487500000002</v>
      </c>
    </row>
    <row r="141" spans="1:4" ht="13.3" thickBot="1" x14ac:dyDescent="0.4"/>
    <row r="142" spans="1:4" ht="16.3" thickBot="1" x14ac:dyDescent="0.4">
      <c r="A142" s="135" t="s">
        <v>65</v>
      </c>
      <c r="B142" s="136"/>
      <c r="C142" s="136"/>
      <c r="D142" s="137"/>
    </row>
    <row r="144" spans="1:4" x14ac:dyDescent="0.35">
      <c r="A144" s="101">
        <v>6</v>
      </c>
      <c r="B144" s="44" t="s">
        <v>7</v>
      </c>
      <c r="C144" s="101" t="s">
        <v>31</v>
      </c>
      <c r="D144" s="101" t="s">
        <v>13</v>
      </c>
    </row>
    <row r="145" spans="1:6" x14ac:dyDescent="0.35">
      <c r="A145" s="30" t="s">
        <v>14</v>
      </c>
      <c r="B145" s="45" t="s">
        <v>8</v>
      </c>
      <c r="C145" s="46">
        <v>0.06</v>
      </c>
      <c r="D145" s="47">
        <f>(C139+C129+C100+C94+C40)*C145</f>
        <v>213.22213655145597</v>
      </c>
    </row>
    <row r="146" spans="1:6" x14ac:dyDescent="0.35">
      <c r="A146" s="30" t="s">
        <v>15</v>
      </c>
      <c r="B146" s="45" t="s">
        <v>10</v>
      </c>
      <c r="C146" s="46">
        <v>6.7900000000000002E-2</v>
      </c>
      <c r="D146" s="47">
        <f>(C139+C129+C100+C94+C40)*C146</f>
        <v>241.29638453073102</v>
      </c>
    </row>
    <row r="147" spans="1:6" x14ac:dyDescent="0.35">
      <c r="A147" s="30" t="s">
        <v>16</v>
      </c>
      <c r="B147" s="45" t="s">
        <v>9</v>
      </c>
      <c r="C147" s="46"/>
      <c r="D147" s="47"/>
    </row>
    <row r="148" spans="1:6" x14ac:dyDescent="0.35">
      <c r="A148" s="30"/>
      <c r="B148" s="45" t="s">
        <v>72</v>
      </c>
      <c r="C148" s="46">
        <v>6.4999999999999997E-3</v>
      </c>
      <c r="D148" s="47">
        <f>(C139+C129+C100+C85+C40)*C148</f>
        <v>34.208819004824115</v>
      </c>
    </row>
    <row r="149" spans="1:6" x14ac:dyDescent="0.35">
      <c r="A149" s="30"/>
      <c r="B149" s="45" t="s">
        <v>73</v>
      </c>
      <c r="C149" s="46">
        <v>0.03</v>
      </c>
      <c r="D149" s="47">
        <f>(C139+C129+C100+C85+C40)*C149</f>
        <v>157.88685694534206</v>
      </c>
    </row>
    <row r="150" spans="1:6" x14ac:dyDescent="0.35">
      <c r="A150" s="30"/>
      <c r="B150" s="45" t="s">
        <v>66</v>
      </c>
      <c r="C150" s="46"/>
      <c r="D150" s="47"/>
    </row>
    <row r="151" spans="1:6" x14ac:dyDescent="0.35">
      <c r="A151" s="30"/>
      <c r="B151" s="45" t="s">
        <v>188</v>
      </c>
      <c r="C151" s="48">
        <v>0.03</v>
      </c>
      <c r="D151" s="47">
        <f>(C139+C129+C100+C85+C40)*C151</f>
        <v>157.88685694534206</v>
      </c>
    </row>
    <row r="152" spans="1:6" x14ac:dyDescent="0.35">
      <c r="A152" s="30"/>
      <c r="B152" s="45" t="s">
        <v>86</v>
      </c>
      <c r="C152" s="48">
        <v>0.21440000000000001</v>
      </c>
      <c r="D152" s="49">
        <f>(C139+C129+C100+C85+C40)*C152</f>
        <v>1128.3647376360445</v>
      </c>
      <c r="F152" s="37"/>
    </row>
    <row r="153" spans="1:6" x14ac:dyDescent="0.35">
      <c r="A153" s="129" t="s">
        <v>38</v>
      </c>
      <c r="B153" s="129"/>
      <c r="C153" s="46"/>
      <c r="D153" s="50">
        <f>D152</f>
        <v>1128.3647376360445</v>
      </c>
    </row>
    <row r="155" spans="1:6" ht="13.3" thickBot="1" x14ac:dyDescent="0.4"/>
    <row r="156" spans="1:6" ht="16.3" thickBot="1" x14ac:dyDescent="0.4">
      <c r="A156" s="126" t="s">
        <v>67</v>
      </c>
      <c r="B156" s="127"/>
      <c r="C156" s="128"/>
    </row>
    <row r="158" spans="1:6" x14ac:dyDescent="0.35">
      <c r="A158" s="101"/>
      <c r="B158" s="101" t="s">
        <v>68</v>
      </c>
      <c r="C158" s="101" t="s">
        <v>13</v>
      </c>
    </row>
    <row r="159" spans="1:6" x14ac:dyDescent="0.35">
      <c r="A159" s="101" t="s">
        <v>14</v>
      </c>
      <c r="B159" s="45" t="s">
        <v>11</v>
      </c>
      <c r="C159" s="51">
        <f>C40</f>
        <v>2293.2654357599999</v>
      </c>
    </row>
    <row r="160" spans="1:6" x14ac:dyDescent="0.35">
      <c r="A160" s="101" t="s">
        <v>15</v>
      </c>
      <c r="B160" s="45" t="s">
        <v>23</v>
      </c>
      <c r="C160" s="51">
        <f>C85</f>
        <v>1943.0278025446801</v>
      </c>
    </row>
    <row r="161" spans="1:4" x14ac:dyDescent="0.35">
      <c r="A161" s="101" t="s">
        <v>16</v>
      </c>
      <c r="B161" s="45" t="s">
        <v>44</v>
      </c>
      <c r="C161" s="51">
        <f>C100</f>
        <v>244.07018958189428</v>
      </c>
    </row>
    <row r="162" spans="1:4" x14ac:dyDescent="0.35">
      <c r="A162" s="101" t="s">
        <v>17</v>
      </c>
      <c r="B162" s="52" t="s">
        <v>50</v>
      </c>
      <c r="C162" s="51">
        <f>C129</f>
        <v>571.26692862482798</v>
      </c>
    </row>
    <row r="163" spans="1:4" x14ac:dyDescent="0.35">
      <c r="A163" s="101" t="s">
        <v>18</v>
      </c>
      <c r="B163" s="45" t="s">
        <v>62</v>
      </c>
      <c r="C163" s="51">
        <f>C139</f>
        <v>211.26487500000002</v>
      </c>
    </row>
    <row r="164" spans="1:4" x14ac:dyDescent="0.35">
      <c r="A164" s="129" t="s">
        <v>69</v>
      </c>
      <c r="B164" s="129"/>
      <c r="C164" s="53">
        <f>SUM(C159:C163)</f>
        <v>5262.895231511402</v>
      </c>
    </row>
    <row r="165" spans="1:4" x14ac:dyDescent="0.35">
      <c r="A165" s="101" t="s">
        <v>20</v>
      </c>
      <c r="B165" s="45" t="s">
        <v>70</v>
      </c>
      <c r="C165" s="51">
        <f>D153</f>
        <v>1128.3647376360445</v>
      </c>
    </row>
    <row r="166" spans="1:4" x14ac:dyDescent="0.35">
      <c r="A166" s="129" t="s">
        <v>71</v>
      </c>
      <c r="B166" s="129"/>
      <c r="C166" s="54">
        <f>C164+C165</f>
        <v>6391.2599691474461</v>
      </c>
    </row>
    <row r="167" spans="1:4" ht="13.3" thickBot="1" x14ac:dyDescent="0.4">
      <c r="A167" s="130" t="s">
        <v>131</v>
      </c>
      <c r="B167" s="130"/>
      <c r="C167" s="75"/>
      <c r="D167" s="42"/>
    </row>
    <row r="168" spans="1:4" ht="91.3" customHeight="1" thickBot="1" x14ac:dyDescent="0.4">
      <c r="A168" s="131" t="s">
        <v>133</v>
      </c>
      <c r="B168" s="132"/>
      <c r="C168" s="133"/>
    </row>
    <row r="170" spans="1:4" x14ac:dyDescent="0.35">
      <c r="B170" s="37"/>
    </row>
    <row r="171" spans="1:4" x14ac:dyDescent="0.35">
      <c r="B171" s="37"/>
    </row>
  </sheetData>
  <mergeCells count="41">
    <mergeCell ref="A45:C45"/>
    <mergeCell ref="A1:C1"/>
    <mergeCell ref="A2:C2"/>
    <mergeCell ref="A4:C4"/>
    <mergeCell ref="A5:C5"/>
    <mergeCell ref="A6:C6"/>
    <mergeCell ref="A10:C10"/>
    <mergeCell ref="A17:C17"/>
    <mergeCell ref="A24:C24"/>
    <mergeCell ref="A32:C32"/>
    <mergeCell ref="A40:B40"/>
    <mergeCell ref="A43:C43"/>
    <mergeCell ref="A99:B99"/>
    <mergeCell ref="A51:B51"/>
    <mergeCell ref="A54:D54"/>
    <mergeCell ref="A64:B64"/>
    <mergeCell ref="A66:B66"/>
    <mergeCell ref="A69:C69"/>
    <mergeCell ref="A76:B76"/>
    <mergeCell ref="A79:C79"/>
    <mergeCell ref="A85:B85"/>
    <mergeCell ref="A88:C88"/>
    <mergeCell ref="A94:B94"/>
    <mergeCell ref="A98:B98"/>
    <mergeCell ref="A153:B153"/>
    <mergeCell ref="A100:B100"/>
    <mergeCell ref="A103:C103"/>
    <mergeCell ref="A105:C105"/>
    <mergeCell ref="A114:B114"/>
    <mergeCell ref="A117:C117"/>
    <mergeCell ref="A121:B121"/>
    <mergeCell ref="A124:C124"/>
    <mergeCell ref="A129:B129"/>
    <mergeCell ref="A132:C132"/>
    <mergeCell ref="A139:B139"/>
    <mergeCell ref="A142:D142"/>
    <mergeCell ref="A156:C156"/>
    <mergeCell ref="A164:B164"/>
    <mergeCell ref="A166:B166"/>
    <mergeCell ref="A167:B167"/>
    <mergeCell ref="A168:C168"/>
  </mergeCells>
  <pageMargins left="0.511811024" right="0.511811024" top="0.78740157499999996" bottom="0.78740157499999996" header="0.31496062000000002" footer="0.31496062000000002"/>
  <pageSetup paperSize="9" scale="74" fitToHeight="0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1570F5-2F1D-4D45-9781-FD682E5908D7}">
  <sheetPr>
    <pageSetUpPr fitToPage="1"/>
  </sheetPr>
  <dimension ref="A1:F171"/>
  <sheetViews>
    <sheetView showGridLines="0" topLeftCell="A46" zoomScale="115" zoomScaleNormal="115" workbookViewId="0">
      <selection activeCell="H67" sqref="H67"/>
    </sheetView>
  </sheetViews>
  <sheetFormatPr defaultColWidth="9.15234375" defaultRowHeight="12.9" x14ac:dyDescent="0.35"/>
  <cols>
    <col min="1" max="1" width="9.15234375" style="14"/>
    <col min="2" max="2" width="72.15234375" style="14" customWidth="1"/>
    <col min="3" max="3" width="27.69140625" style="14" customWidth="1"/>
    <col min="4" max="4" width="15.3046875" style="14" bestFit="1" customWidth="1"/>
    <col min="5" max="5" width="14.69140625" style="14" customWidth="1"/>
    <col min="6" max="6" width="12" style="14" customWidth="1"/>
    <col min="7" max="7" width="15.15234375" style="14" customWidth="1"/>
    <col min="8" max="16384" width="9.15234375" style="14"/>
  </cols>
  <sheetData>
    <row r="1" spans="1:3" x14ac:dyDescent="0.35">
      <c r="A1" s="142" t="s">
        <v>107</v>
      </c>
      <c r="B1" s="142"/>
      <c r="C1" s="142"/>
    </row>
    <row r="2" spans="1:3" x14ac:dyDescent="0.35">
      <c r="A2" s="143" t="s">
        <v>200</v>
      </c>
      <c r="B2" s="143"/>
      <c r="C2" s="143"/>
    </row>
    <row r="3" spans="1:3" x14ac:dyDescent="0.35">
      <c r="A3" s="74"/>
      <c r="B3" s="74"/>
      <c r="C3" s="74"/>
    </row>
    <row r="4" spans="1:3" ht="12.9" customHeight="1" x14ac:dyDescent="0.35">
      <c r="A4" s="144" t="s">
        <v>201</v>
      </c>
      <c r="B4" s="144"/>
      <c r="C4" s="144"/>
    </row>
    <row r="5" spans="1:3" x14ac:dyDescent="0.35">
      <c r="A5" s="145" t="s">
        <v>154</v>
      </c>
      <c r="B5" s="145"/>
      <c r="C5" s="145"/>
    </row>
    <row r="6" spans="1:3" x14ac:dyDescent="0.35">
      <c r="A6" s="146" t="s">
        <v>157</v>
      </c>
      <c r="B6" s="146"/>
      <c r="C6" s="146"/>
    </row>
    <row r="10" spans="1:3" x14ac:dyDescent="0.35">
      <c r="A10" s="147" t="s">
        <v>108</v>
      </c>
      <c r="B10" s="147"/>
      <c r="C10" s="147"/>
    </row>
    <row r="11" spans="1:3" x14ac:dyDescent="0.35">
      <c r="A11" s="30" t="s">
        <v>14</v>
      </c>
      <c r="B11" s="29" t="s">
        <v>109</v>
      </c>
      <c r="C11" s="16" t="s">
        <v>110</v>
      </c>
    </row>
    <row r="12" spans="1:3" x14ac:dyDescent="0.35">
      <c r="A12" s="30" t="s">
        <v>15</v>
      </c>
      <c r="B12" s="29" t="s">
        <v>111</v>
      </c>
      <c r="C12" s="17" t="s">
        <v>197</v>
      </c>
    </row>
    <row r="13" spans="1:3" ht="15.65" customHeight="1" x14ac:dyDescent="0.35">
      <c r="A13" s="30" t="s">
        <v>16</v>
      </c>
      <c r="B13" s="29" t="s">
        <v>112</v>
      </c>
      <c r="C13" s="94" t="s">
        <v>156</v>
      </c>
    </row>
    <row r="14" spans="1:3" x14ac:dyDescent="0.35">
      <c r="A14" s="30" t="s">
        <v>17</v>
      </c>
      <c r="B14" s="29" t="s">
        <v>113</v>
      </c>
      <c r="C14" s="18">
        <v>12</v>
      </c>
    </row>
    <row r="17" spans="1:3" ht="15" customHeight="1" x14ac:dyDescent="0.35">
      <c r="A17" s="147" t="s">
        <v>128</v>
      </c>
      <c r="B17" s="147"/>
      <c r="C17" s="147"/>
    </row>
    <row r="18" spans="1:3" ht="25.75" x14ac:dyDescent="0.35">
      <c r="A18" s="30">
        <v>1</v>
      </c>
      <c r="B18" s="28" t="s">
        <v>114</v>
      </c>
      <c r="C18" s="100" t="s">
        <v>115</v>
      </c>
    </row>
    <row r="19" spans="1:3" ht="15" customHeight="1" x14ac:dyDescent="0.35">
      <c r="A19" s="30">
        <v>2</v>
      </c>
      <c r="B19" s="27" t="s">
        <v>116</v>
      </c>
      <c r="C19" s="19" t="s">
        <v>117</v>
      </c>
    </row>
    <row r="20" spans="1:3" ht="15" customHeight="1" x14ac:dyDescent="0.35">
      <c r="A20" s="30">
        <v>3</v>
      </c>
      <c r="B20" s="27" t="s">
        <v>118</v>
      </c>
      <c r="C20" s="105">
        <v>1</v>
      </c>
    </row>
    <row r="21" spans="1:3" ht="15" customHeight="1" x14ac:dyDescent="0.35">
      <c r="A21" s="30">
        <v>4</v>
      </c>
      <c r="B21" s="15" t="s">
        <v>119</v>
      </c>
      <c r="C21" s="21" t="s">
        <v>120</v>
      </c>
    </row>
    <row r="23" spans="1:3" ht="15" customHeight="1" x14ac:dyDescent="0.35"/>
    <row r="24" spans="1:3" ht="15" customHeight="1" x14ac:dyDescent="0.35">
      <c r="A24" s="147" t="s">
        <v>121</v>
      </c>
      <c r="B24" s="147"/>
      <c r="C24" s="147"/>
    </row>
    <row r="25" spans="1:3" ht="15" customHeight="1" x14ac:dyDescent="0.35">
      <c r="A25" s="30">
        <v>1</v>
      </c>
      <c r="B25" s="22" t="s">
        <v>122</v>
      </c>
      <c r="C25" s="23" t="s">
        <v>123</v>
      </c>
    </row>
    <row r="26" spans="1:3" ht="15" customHeight="1" x14ac:dyDescent="0.35">
      <c r="A26" s="30">
        <v>2</v>
      </c>
      <c r="B26" s="22" t="s">
        <v>124</v>
      </c>
      <c r="C26" s="24" t="s">
        <v>125</v>
      </c>
    </row>
    <row r="27" spans="1:3" ht="15" customHeight="1" x14ac:dyDescent="0.35">
      <c r="A27" s="30">
        <v>3</v>
      </c>
      <c r="B27" s="25" t="s">
        <v>155</v>
      </c>
      <c r="C27" s="41">
        <v>1449.96</v>
      </c>
    </row>
    <row r="28" spans="1:3" ht="15" customHeight="1" x14ac:dyDescent="0.35">
      <c r="A28" s="30">
        <v>4</v>
      </c>
      <c r="B28" s="22" t="s">
        <v>126</v>
      </c>
      <c r="C28" s="21" t="s">
        <v>120</v>
      </c>
    </row>
    <row r="29" spans="1:3" ht="15" customHeight="1" x14ac:dyDescent="0.35">
      <c r="A29" s="30">
        <v>5</v>
      </c>
      <c r="B29" s="22" t="s">
        <v>127</v>
      </c>
      <c r="C29" s="26">
        <v>44562</v>
      </c>
    </row>
    <row r="31" spans="1:3" ht="13.3" thickBot="1" x14ac:dyDescent="0.4"/>
    <row r="32" spans="1:3" ht="16.3" thickBot="1" x14ac:dyDescent="0.4">
      <c r="A32" s="135" t="s">
        <v>11</v>
      </c>
      <c r="B32" s="136"/>
      <c r="C32" s="137"/>
    </row>
    <row r="34" spans="1:3" x14ac:dyDescent="0.35">
      <c r="A34" s="101">
        <v>1</v>
      </c>
      <c r="B34" s="101" t="s">
        <v>12</v>
      </c>
      <c r="C34" s="101" t="s">
        <v>13</v>
      </c>
    </row>
    <row r="35" spans="1:3" x14ac:dyDescent="0.35">
      <c r="A35" s="30" t="s">
        <v>14</v>
      </c>
      <c r="B35" s="45" t="s">
        <v>159</v>
      </c>
      <c r="C35" s="56">
        <f>C27</f>
        <v>1449.96</v>
      </c>
    </row>
    <row r="36" spans="1:3" x14ac:dyDescent="0.35">
      <c r="A36" s="30" t="s">
        <v>15</v>
      </c>
      <c r="B36" s="45" t="s">
        <v>160</v>
      </c>
      <c r="C36" s="56">
        <f>C35*30%</f>
        <v>434.988</v>
      </c>
    </row>
    <row r="37" spans="1:3" x14ac:dyDescent="0.35">
      <c r="A37" s="30" t="s">
        <v>17</v>
      </c>
      <c r="B37" s="52" t="s">
        <v>161</v>
      </c>
      <c r="C37" s="69">
        <f>(C35+C36)*58.33%*20%</f>
        <v>219.89803368</v>
      </c>
    </row>
    <row r="38" spans="1:3" x14ac:dyDescent="0.35">
      <c r="A38" s="30" t="s">
        <v>18</v>
      </c>
      <c r="B38" s="52" t="s">
        <v>129</v>
      </c>
      <c r="C38" s="69">
        <f>(C35+C36)*8.33%*1.2</f>
        <v>188.41940208</v>
      </c>
    </row>
    <row r="39" spans="1:3" x14ac:dyDescent="0.35">
      <c r="A39" s="30" t="s">
        <v>20</v>
      </c>
      <c r="B39" s="45" t="s">
        <v>22</v>
      </c>
      <c r="C39" s="56">
        <v>0</v>
      </c>
    </row>
    <row r="40" spans="1:3" x14ac:dyDescent="0.35">
      <c r="A40" s="129" t="s">
        <v>1</v>
      </c>
      <c r="B40" s="129"/>
      <c r="C40" s="57">
        <f>SUM(C35:C39)</f>
        <v>2293.2654357599999</v>
      </c>
    </row>
    <row r="42" spans="1:3" ht="13.3" thickBot="1" x14ac:dyDescent="0.4"/>
    <row r="43" spans="1:3" ht="16.3" thickBot="1" x14ac:dyDescent="0.4">
      <c r="A43" s="135" t="s">
        <v>23</v>
      </c>
      <c r="B43" s="136"/>
      <c r="C43" s="137"/>
    </row>
    <row r="44" spans="1:3" x14ac:dyDescent="0.35">
      <c r="A44" s="32"/>
    </row>
    <row r="45" spans="1:3" x14ac:dyDescent="0.35">
      <c r="A45" s="138" t="s">
        <v>24</v>
      </c>
      <c r="B45" s="138"/>
      <c r="C45" s="138"/>
    </row>
    <row r="47" spans="1:3" x14ac:dyDescent="0.35">
      <c r="A47" s="101" t="s">
        <v>25</v>
      </c>
      <c r="B47" s="101" t="s">
        <v>26</v>
      </c>
      <c r="C47" s="101" t="s">
        <v>13</v>
      </c>
    </row>
    <row r="48" spans="1:3" x14ac:dyDescent="0.35">
      <c r="A48" s="30" t="s">
        <v>14</v>
      </c>
      <c r="B48" s="45" t="s">
        <v>27</v>
      </c>
      <c r="C48" s="56">
        <f>C40/12</f>
        <v>191.10545298</v>
      </c>
    </row>
    <row r="49" spans="1:4" x14ac:dyDescent="0.35">
      <c r="A49" s="30" t="s">
        <v>15</v>
      </c>
      <c r="B49" s="45" t="s">
        <v>74</v>
      </c>
      <c r="C49" s="56">
        <f>C40/12</f>
        <v>191.10545298</v>
      </c>
    </row>
    <row r="50" spans="1:4" x14ac:dyDescent="0.35">
      <c r="A50" s="30" t="s">
        <v>16</v>
      </c>
      <c r="B50" s="45" t="s">
        <v>75</v>
      </c>
      <c r="C50" s="56">
        <f>(C40/12)/3</f>
        <v>63.701817659999996</v>
      </c>
    </row>
    <row r="51" spans="1:4" x14ac:dyDescent="0.35">
      <c r="A51" s="129" t="s">
        <v>1</v>
      </c>
      <c r="B51" s="129"/>
      <c r="C51" s="57">
        <f>SUM(C48:C50)</f>
        <v>445.91272362000001</v>
      </c>
    </row>
    <row r="54" spans="1:4" ht="32.25" customHeight="1" x14ac:dyDescent="0.35">
      <c r="A54" s="139" t="s">
        <v>28</v>
      </c>
      <c r="B54" s="139"/>
      <c r="C54" s="139"/>
      <c r="D54" s="139"/>
    </row>
    <row r="56" spans="1:4" x14ac:dyDescent="0.35">
      <c r="A56" s="101" t="s">
        <v>29</v>
      </c>
      <c r="B56" s="101" t="s">
        <v>30</v>
      </c>
      <c r="C56" s="101" t="s">
        <v>31</v>
      </c>
      <c r="D56" s="101" t="s">
        <v>13</v>
      </c>
    </row>
    <row r="57" spans="1:4" x14ac:dyDescent="0.35">
      <c r="A57" s="30" t="s">
        <v>14</v>
      </c>
      <c r="B57" s="45" t="s">
        <v>32</v>
      </c>
      <c r="C57" s="65">
        <v>0.2</v>
      </c>
      <c r="D57" s="56">
        <f>(C40+C51)*C57</f>
        <v>547.83563187600009</v>
      </c>
    </row>
    <row r="58" spans="1:4" x14ac:dyDescent="0.35">
      <c r="A58" s="30" t="s">
        <v>15</v>
      </c>
      <c r="B58" s="45" t="s">
        <v>33</v>
      </c>
      <c r="C58" s="65">
        <v>2.5000000000000001E-2</v>
      </c>
      <c r="D58" s="56">
        <f>(C40+C51)*C58</f>
        <v>68.479453984500012</v>
      </c>
    </row>
    <row r="59" spans="1:4" x14ac:dyDescent="0.35">
      <c r="A59" s="30" t="s">
        <v>16</v>
      </c>
      <c r="B59" s="45" t="s">
        <v>34</v>
      </c>
      <c r="C59" s="66">
        <v>0.03</v>
      </c>
      <c r="D59" s="56">
        <f>(C40+C51)*C59</f>
        <v>82.1753447814</v>
      </c>
    </row>
    <row r="60" spans="1:4" x14ac:dyDescent="0.35">
      <c r="A60" s="30" t="s">
        <v>17</v>
      </c>
      <c r="B60" s="45" t="s">
        <v>35</v>
      </c>
      <c r="C60" s="65">
        <v>1.4999999999999999E-2</v>
      </c>
      <c r="D60" s="56">
        <f>(C40+C51)*C60</f>
        <v>41.0876723907</v>
      </c>
    </row>
    <row r="61" spans="1:4" x14ac:dyDescent="0.35">
      <c r="A61" s="30" t="s">
        <v>18</v>
      </c>
      <c r="B61" s="45" t="s">
        <v>36</v>
      </c>
      <c r="C61" s="65">
        <v>0.01</v>
      </c>
      <c r="D61" s="56">
        <f>(C40+C51)*C61</f>
        <v>27.391781593800001</v>
      </c>
    </row>
    <row r="62" spans="1:4" x14ac:dyDescent="0.35">
      <c r="A62" s="30" t="s">
        <v>20</v>
      </c>
      <c r="B62" s="45" t="s">
        <v>3</v>
      </c>
      <c r="C62" s="65">
        <v>6.0000000000000001E-3</v>
      </c>
      <c r="D62" s="56">
        <f>(C40+C40)*C62</f>
        <v>27.519185229120001</v>
      </c>
    </row>
    <row r="63" spans="1:4" x14ac:dyDescent="0.35">
      <c r="A63" s="30" t="s">
        <v>21</v>
      </c>
      <c r="B63" s="45" t="s">
        <v>4</v>
      </c>
      <c r="C63" s="65">
        <v>2E-3</v>
      </c>
      <c r="D63" s="56">
        <f>(C40+C51)*C63</f>
        <v>5.4783563187600004</v>
      </c>
    </row>
    <row r="64" spans="1:4" x14ac:dyDescent="0.35">
      <c r="A64" s="140" t="s">
        <v>76</v>
      </c>
      <c r="B64" s="140"/>
      <c r="C64" s="67">
        <f>SUM(C57:C63)</f>
        <v>0.28800000000000003</v>
      </c>
      <c r="D64" s="68">
        <f>SUM(D57:D63)</f>
        <v>799.96742617428015</v>
      </c>
    </row>
    <row r="65" spans="1:4" x14ac:dyDescent="0.35">
      <c r="A65" s="30" t="s">
        <v>37</v>
      </c>
      <c r="B65" s="45" t="s">
        <v>5</v>
      </c>
      <c r="C65" s="65">
        <v>0.08</v>
      </c>
      <c r="D65" s="56">
        <f>(C40+C51)*C65</f>
        <v>219.13425275040001</v>
      </c>
    </row>
    <row r="66" spans="1:4" x14ac:dyDescent="0.35">
      <c r="A66" s="129" t="s">
        <v>38</v>
      </c>
      <c r="B66" s="129"/>
      <c r="C66" s="65">
        <f>SUM(C64:C65)</f>
        <v>0.36800000000000005</v>
      </c>
      <c r="D66" s="57">
        <f>SUM(D64:D65)</f>
        <v>1019.1016789246802</v>
      </c>
    </row>
    <row r="69" spans="1:4" x14ac:dyDescent="0.35">
      <c r="A69" s="138" t="s">
        <v>39</v>
      </c>
      <c r="B69" s="138"/>
      <c r="C69" s="138"/>
    </row>
    <row r="71" spans="1:4" x14ac:dyDescent="0.35">
      <c r="A71" s="101" t="s">
        <v>40</v>
      </c>
      <c r="B71" s="101" t="s">
        <v>41</v>
      </c>
      <c r="C71" s="101" t="s">
        <v>13</v>
      </c>
    </row>
    <row r="72" spans="1:4" x14ac:dyDescent="0.35">
      <c r="A72" s="30" t="s">
        <v>14</v>
      </c>
      <c r="B72" s="45" t="s">
        <v>193</v>
      </c>
      <c r="C72" s="56">
        <f>(4.1*2*15)-(C35/100)*6</f>
        <v>36.00239999999998</v>
      </c>
    </row>
    <row r="73" spans="1:4" x14ac:dyDescent="0.35">
      <c r="A73" s="30" t="s">
        <v>15</v>
      </c>
      <c r="B73" s="45" t="s">
        <v>204</v>
      </c>
      <c r="C73" s="56">
        <f>(23.13*15)-(23.13*15*2%)</f>
        <v>340.01099999999997</v>
      </c>
    </row>
    <row r="74" spans="1:4" x14ac:dyDescent="0.35">
      <c r="A74" s="30" t="s">
        <v>16</v>
      </c>
      <c r="B74" s="45" t="s">
        <v>162</v>
      </c>
      <c r="C74" s="56">
        <v>45</v>
      </c>
    </row>
    <row r="75" spans="1:4" x14ac:dyDescent="0.35">
      <c r="A75" s="30" t="s">
        <v>17</v>
      </c>
      <c r="B75" s="1" t="s">
        <v>77</v>
      </c>
      <c r="C75" s="56"/>
    </row>
    <row r="76" spans="1:4" x14ac:dyDescent="0.35">
      <c r="A76" s="129" t="s">
        <v>1</v>
      </c>
      <c r="B76" s="129"/>
      <c r="C76" s="57">
        <f>SUM(C72:C75)</f>
        <v>421.01339999999993</v>
      </c>
    </row>
    <row r="79" spans="1:4" x14ac:dyDescent="0.35">
      <c r="A79" s="138" t="s">
        <v>42</v>
      </c>
      <c r="B79" s="138"/>
      <c r="C79" s="138"/>
    </row>
    <row r="81" spans="1:4" x14ac:dyDescent="0.35">
      <c r="A81" s="101">
        <v>2</v>
      </c>
      <c r="B81" s="101" t="s">
        <v>43</v>
      </c>
      <c r="C81" s="101" t="s">
        <v>13</v>
      </c>
    </row>
    <row r="82" spans="1:4" x14ac:dyDescent="0.35">
      <c r="A82" s="30" t="s">
        <v>25</v>
      </c>
      <c r="B82" s="45" t="s">
        <v>26</v>
      </c>
      <c r="C82" s="47">
        <f>C51</f>
        <v>445.91272362000001</v>
      </c>
    </row>
    <row r="83" spans="1:4" x14ac:dyDescent="0.35">
      <c r="A83" s="30" t="s">
        <v>29</v>
      </c>
      <c r="B83" s="45" t="s">
        <v>30</v>
      </c>
      <c r="C83" s="47">
        <f>D66</f>
        <v>1019.1016789246802</v>
      </c>
    </row>
    <row r="84" spans="1:4" x14ac:dyDescent="0.35">
      <c r="A84" s="30" t="s">
        <v>40</v>
      </c>
      <c r="B84" s="45" t="s">
        <v>41</v>
      </c>
      <c r="C84" s="47">
        <f>C76</f>
        <v>421.01339999999993</v>
      </c>
    </row>
    <row r="85" spans="1:4" x14ac:dyDescent="0.35">
      <c r="A85" s="129" t="s">
        <v>1</v>
      </c>
      <c r="B85" s="129"/>
      <c r="C85" s="50">
        <f>SUM(C82:C84)</f>
        <v>1886.0278025446801</v>
      </c>
    </row>
    <row r="86" spans="1:4" x14ac:dyDescent="0.35">
      <c r="A86" s="33"/>
    </row>
    <row r="87" spans="1:4" ht="13.3" thickBot="1" x14ac:dyDescent="0.4"/>
    <row r="88" spans="1:4" ht="16.3" thickBot="1" x14ac:dyDescent="0.4">
      <c r="A88" s="135" t="s">
        <v>44</v>
      </c>
      <c r="B88" s="136"/>
      <c r="C88" s="137"/>
    </row>
    <row r="90" spans="1:4" x14ac:dyDescent="0.35">
      <c r="A90" s="101">
        <v>3</v>
      </c>
      <c r="B90" s="101" t="s">
        <v>45</v>
      </c>
      <c r="C90" s="101" t="s">
        <v>13</v>
      </c>
    </row>
    <row r="91" spans="1:4" x14ac:dyDescent="0.35">
      <c r="A91" s="30" t="s">
        <v>14</v>
      </c>
      <c r="B91" s="60" t="s">
        <v>149</v>
      </c>
      <c r="C91" s="56">
        <f>(C40+C85-D64)/12</f>
        <v>281.61048434419996</v>
      </c>
      <c r="D91" s="34"/>
    </row>
    <row r="92" spans="1:4" x14ac:dyDescent="0.35">
      <c r="A92" s="30" t="s">
        <v>15</v>
      </c>
      <c r="B92" s="60" t="s">
        <v>46</v>
      </c>
      <c r="C92" s="61">
        <f>C91*8%</f>
        <v>22.528838747535996</v>
      </c>
    </row>
    <row r="93" spans="1:4" x14ac:dyDescent="0.35">
      <c r="A93" s="30" t="s">
        <v>16</v>
      </c>
      <c r="B93" s="60" t="s">
        <v>47</v>
      </c>
      <c r="C93" s="61">
        <f>(D65*50%)</f>
        <v>109.5671263752</v>
      </c>
    </row>
    <row r="94" spans="1:4" x14ac:dyDescent="0.35">
      <c r="A94" s="141" t="s">
        <v>78</v>
      </c>
      <c r="B94" s="141"/>
      <c r="C94" s="57">
        <f>(C91+C93)*59.06%</f>
        <v>231.02949689087762</v>
      </c>
    </row>
    <row r="95" spans="1:4" ht="25.75" x14ac:dyDescent="0.35">
      <c r="A95" s="30" t="s">
        <v>17</v>
      </c>
      <c r="B95" s="62" t="s">
        <v>150</v>
      </c>
      <c r="C95" s="61">
        <f>(C40+C85)/12</f>
        <v>348.27443652539</v>
      </c>
    </row>
    <row r="96" spans="1:4" x14ac:dyDescent="0.35">
      <c r="A96" s="30" t="s">
        <v>18</v>
      </c>
      <c r="B96" s="60" t="s">
        <v>48</v>
      </c>
      <c r="C96" s="56">
        <f>(C95*C66)</f>
        <v>128.16499264134353</v>
      </c>
    </row>
    <row r="97" spans="1:4" x14ac:dyDescent="0.35">
      <c r="A97" s="30" t="s">
        <v>20</v>
      </c>
      <c r="B97" s="60" t="s">
        <v>49</v>
      </c>
      <c r="C97" s="56">
        <f>C93</f>
        <v>109.5671263752</v>
      </c>
    </row>
    <row r="98" spans="1:4" x14ac:dyDescent="0.35">
      <c r="A98" s="141" t="s">
        <v>79</v>
      </c>
      <c r="B98" s="141"/>
      <c r="C98" s="57">
        <f>(C95+C97)*6.56%</f>
        <v>30.034406526278701</v>
      </c>
    </row>
    <row r="99" spans="1:4" x14ac:dyDescent="0.35">
      <c r="A99" s="129" t="s">
        <v>80</v>
      </c>
      <c r="B99" s="129"/>
      <c r="C99" s="63">
        <f>C51*4.51%</f>
        <v>20.110663835262002</v>
      </c>
    </row>
    <row r="100" spans="1:4" x14ac:dyDescent="0.35">
      <c r="A100" s="134" t="s">
        <v>81</v>
      </c>
      <c r="B100" s="134"/>
      <c r="C100" s="64">
        <f>(C94+C98)-C99</f>
        <v>240.95323958189431</v>
      </c>
    </row>
    <row r="102" spans="1:4" ht="13.3" thickBot="1" x14ac:dyDescent="0.4"/>
    <row r="103" spans="1:4" ht="16.3" thickBot="1" x14ac:dyDescent="0.4">
      <c r="A103" s="135" t="s">
        <v>50</v>
      </c>
      <c r="B103" s="136"/>
      <c r="C103" s="137"/>
    </row>
    <row r="105" spans="1:4" x14ac:dyDescent="0.35">
      <c r="A105" s="138" t="s">
        <v>51</v>
      </c>
      <c r="B105" s="138"/>
      <c r="C105" s="138"/>
    </row>
    <row r="106" spans="1:4" x14ac:dyDescent="0.35">
      <c r="A106" s="32"/>
    </row>
    <row r="107" spans="1:4" x14ac:dyDescent="0.35">
      <c r="A107" s="101" t="s">
        <v>52</v>
      </c>
      <c r="B107" s="101" t="s">
        <v>53</v>
      </c>
      <c r="C107" s="101" t="s">
        <v>13</v>
      </c>
    </row>
    <row r="108" spans="1:4" x14ac:dyDescent="0.35">
      <c r="A108" s="30" t="s">
        <v>14</v>
      </c>
      <c r="B108" s="45" t="s">
        <v>2</v>
      </c>
      <c r="C108" s="59"/>
    </row>
    <row r="109" spans="1:4" x14ac:dyDescent="0.35">
      <c r="A109" s="30" t="s">
        <v>15</v>
      </c>
      <c r="B109" s="45" t="s">
        <v>130</v>
      </c>
      <c r="C109" s="47">
        <f>(C100+C85+C40)/30*21.3562/12</f>
        <v>262.22129953067019</v>
      </c>
      <c r="D109" s="37"/>
    </row>
    <row r="110" spans="1:4" x14ac:dyDescent="0.35">
      <c r="A110" s="30" t="s">
        <v>16</v>
      </c>
      <c r="B110" s="45" t="s">
        <v>54</v>
      </c>
      <c r="C110" s="47"/>
    </row>
    <row r="111" spans="1:4" x14ac:dyDescent="0.35">
      <c r="A111" s="30" t="s">
        <v>17</v>
      </c>
      <c r="B111" s="45" t="s">
        <v>55</v>
      </c>
      <c r="C111" s="47"/>
    </row>
    <row r="112" spans="1:4" x14ac:dyDescent="0.35">
      <c r="A112" s="30" t="s">
        <v>18</v>
      </c>
      <c r="B112" s="45" t="s">
        <v>56</v>
      </c>
      <c r="C112" s="47"/>
    </row>
    <row r="113" spans="1:3" x14ac:dyDescent="0.35">
      <c r="A113" s="30" t="s">
        <v>20</v>
      </c>
      <c r="B113" s="45" t="s">
        <v>22</v>
      </c>
      <c r="C113" s="30"/>
    </row>
    <row r="114" spans="1:3" x14ac:dyDescent="0.35">
      <c r="A114" s="129" t="s">
        <v>38</v>
      </c>
      <c r="B114" s="129"/>
      <c r="C114" s="50">
        <f>SUM(C108:C113)</f>
        <v>262.22129953067019</v>
      </c>
    </row>
    <row r="117" spans="1:3" x14ac:dyDescent="0.35">
      <c r="A117" s="138" t="s">
        <v>57</v>
      </c>
      <c r="B117" s="138"/>
      <c r="C117" s="138"/>
    </row>
    <row r="118" spans="1:3" x14ac:dyDescent="0.35">
      <c r="A118" s="32"/>
    </row>
    <row r="119" spans="1:3" x14ac:dyDescent="0.35">
      <c r="A119" s="101" t="s">
        <v>58</v>
      </c>
      <c r="B119" s="101" t="s">
        <v>59</v>
      </c>
      <c r="C119" s="101" t="s">
        <v>13</v>
      </c>
    </row>
    <row r="120" spans="1:3" x14ac:dyDescent="0.35">
      <c r="A120" s="30" t="s">
        <v>14</v>
      </c>
      <c r="B120" s="45" t="s">
        <v>166</v>
      </c>
      <c r="C120" s="56">
        <f>(C40+C85+C100)/220*15</f>
        <v>301.38044167408458</v>
      </c>
    </row>
    <row r="121" spans="1:3" x14ac:dyDescent="0.35">
      <c r="A121" s="129" t="s">
        <v>1</v>
      </c>
      <c r="B121" s="129"/>
      <c r="C121" s="57">
        <f>C120</f>
        <v>301.38044167408458</v>
      </c>
    </row>
    <row r="124" spans="1:3" x14ac:dyDescent="0.35">
      <c r="A124" s="138" t="s">
        <v>60</v>
      </c>
      <c r="B124" s="138"/>
      <c r="C124" s="138"/>
    </row>
    <row r="125" spans="1:3" x14ac:dyDescent="0.35">
      <c r="A125" s="32"/>
    </row>
    <row r="126" spans="1:3" x14ac:dyDescent="0.35">
      <c r="A126" s="101">
        <v>4</v>
      </c>
      <c r="B126" s="102" t="s">
        <v>61</v>
      </c>
      <c r="C126" s="101" t="s">
        <v>13</v>
      </c>
    </row>
    <row r="127" spans="1:3" x14ac:dyDescent="0.35">
      <c r="A127" s="30" t="s">
        <v>52</v>
      </c>
      <c r="B127" s="45" t="s">
        <v>53</v>
      </c>
      <c r="C127" s="47">
        <f>C114</f>
        <v>262.22129953067019</v>
      </c>
    </row>
    <row r="128" spans="1:3" x14ac:dyDescent="0.35">
      <c r="A128" s="30" t="s">
        <v>58</v>
      </c>
      <c r="B128" s="45" t="s">
        <v>165</v>
      </c>
      <c r="C128" s="47">
        <f>(C100+C85+C40)/220*15</f>
        <v>301.38044167408458</v>
      </c>
    </row>
    <row r="129" spans="1:4" x14ac:dyDescent="0.35">
      <c r="A129" s="129" t="s">
        <v>1</v>
      </c>
      <c r="B129" s="129"/>
      <c r="C129" s="50">
        <f>SUM(C127:C128)</f>
        <v>563.60174120475472</v>
      </c>
    </row>
    <row r="131" spans="1:4" ht="13.3" thickBot="1" x14ac:dyDescent="0.4"/>
    <row r="132" spans="1:4" ht="16.3" thickBot="1" x14ac:dyDescent="0.4">
      <c r="A132" s="135" t="s">
        <v>62</v>
      </c>
      <c r="B132" s="136"/>
      <c r="C132" s="137"/>
    </row>
    <row r="134" spans="1:4" x14ac:dyDescent="0.35">
      <c r="A134" s="101">
        <v>5</v>
      </c>
      <c r="B134" s="44" t="s">
        <v>6</v>
      </c>
      <c r="C134" s="101" t="s">
        <v>13</v>
      </c>
    </row>
    <row r="135" spans="1:4" x14ac:dyDescent="0.35">
      <c r="A135" s="30" t="s">
        <v>14</v>
      </c>
      <c r="B135" s="45" t="s">
        <v>63</v>
      </c>
      <c r="C135" s="56">
        <f>INSUMOS!E12</f>
        <v>106.48583333333336</v>
      </c>
    </row>
    <row r="136" spans="1:4" x14ac:dyDescent="0.35">
      <c r="A136" s="30" t="s">
        <v>15</v>
      </c>
      <c r="B136" s="45" t="s">
        <v>64</v>
      </c>
      <c r="C136" s="56">
        <f>INSUMOS!E26</f>
        <v>35.888333333333328</v>
      </c>
    </row>
    <row r="137" spans="1:4" x14ac:dyDescent="0.35">
      <c r="A137" s="30" t="s">
        <v>16</v>
      </c>
      <c r="B137" s="45" t="s">
        <v>143</v>
      </c>
      <c r="C137" s="56">
        <f>INSUMOS!E43</f>
        <v>68.890708333333336</v>
      </c>
    </row>
    <row r="138" spans="1:4" x14ac:dyDescent="0.35">
      <c r="A138" s="30" t="s">
        <v>17</v>
      </c>
      <c r="B138" s="45" t="s">
        <v>77</v>
      </c>
      <c r="C138" s="56"/>
      <c r="D138" s="38"/>
    </row>
    <row r="139" spans="1:4" x14ac:dyDescent="0.35">
      <c r="A139" s="129" t="s">
        <v>38</v>
      </c>
      <c r="B139" s="129"/>
      <c r="C139" s="57">
        <f>SUM(C135:C138)</f>
        <v>211.26487500000002</v>
      </c>
    </row>
    <row r="141" spans="1:4" ht="13.3" thickBot="1" x14ac:dyDescent="0.4"/>
    <row r="142" spans="1:4" ht="16.3" thickBot="1" x14ac:dyDescent="0.4">
      <c r="A142" s="135" t="s">
        <v>65</v>
      </c>
      <c r="B142" s="136"/>
      <c r="C142" s="136"/>
      <c r="D142" s="137"/>
    </row>
    <row r="144" spans="1:4" x14ac:dyDescent="0.35">
      <c r="A144" s="101">
        <v>6</v>
      </c>
      <c r="B144" s="44" t="s">
        <v>7</v>
      </c>
      <c r="C144" s="101" t="s">
        <v>31</v>
      </c>
      <c r="D144" s="101" t="s">
        <v>13</v>
      </c>
    </row>
    <row r="145" spans="1:6" x14ac:dyDescent="0.35">
      <c r="A145" s="30" t="s">
        <v>14</v>
      </c>
      <c r="B145" s="45" t="s">
        <v>8</v>
      </c>
      <c r="C145" s="46">
        <v>0.06</v>
      </c>
      <c r="D145" s="47">
        <f>(C139+C129+C100+C94+C40)*C145</f>
        <v>212.4068873062516</v>
      </c>
    </row>
    <row r="146" spans="1:6" x14ac:dyDescent="0.35">
      <c r="A146" s="30" t="s">
        <v>15</v>
      </c>
      <c r="B146" s="45" t="s">
        <v>10</v>
      </c>
      <c r="C146" s="46">
        <v>6.7900000000000002E-2</v>
      </c>
      <c r="D146" s="47">
        <f>(C139+C129+C100+C94+C40)*C146</f>
        <v>240.37379413490808</v>
      </c>
    </row>
    <row r="147" spans="1:6" x14ac:dyDescent="0.35">
      <c r="A147" s="30" t="s">
        <v>16</v>
      </c>
      <c r="B147" s="45" t="s">
        <v>9</v>
      </c>
      <c r="C147" s="46"/>
      <c r="D147" s="47"/>
    </row>
    <row r="148" spans="1:6" x14ac:dyDescent="0.35">
      <c r="A148" s="30"/>
      <c r="B148" s="45" t="s">
        <v>72</v>
      </c>
      <c r="C148" s="46">
        <v>6.4999999999999997E-3</v>
      </c>
      <c r="D148" s="47">
        <f>(C139+C129+C100+C85+C40)*C148</f>
        <v>33.76823511159364</v>
      </c>
    </row>
    <row r="149" spans="1:6" x14ac:dyDescent="0.35">
      <c r="A149" s="30"/>
      <c r="B149" s="45" t="s">
        <v>73</v>
      </c>
      <c r="C149" s="46">
        <v>0.03</v>
      </c>
      <c r="D149" s="47">
        <f>(C139+C129+C100+C85+C40)*C149</f>
        <v>155.85339282273986</v>
      </c>
    </row>
    <row r="150" spans="1:6" x14ac:dyDescent="0.35">
      <c r="A150" s="30"/>
      <c r="B150" s="45" t="s">
        <v>66</v>
      </c>
      <c r="C150" s="46"/>
      <c r="D150" s="47"/>
    </row>
    <row r="151" spans="1:6" x14ac:dyDescent="0.35">
      <c r="A151" s="30"/>
      <c r="B151" s="45" t="s">
        <v>185</v>
      </c>
      <c r="C151" s="48">
        <v>0.05</v>
      </c>
      <c r="D151" s="47">
        <f>(C139+C129+C100+C85+C40)*C151</f>
        <v>259.75565470456644</v>
      </c>
    </row>
    <row r="152" spans="1:6" x14ac:dyDescent="0.35">
      <c r="A152" s="30"/>
      <c r="B152" s="45" t="s">
        <v>86</v>
      </c>
      <c r="C152" s="48">
        <v>0.21440000000000001</v>
      </c>
      <c r="D152" s="49">
        <f>(C139+C129+C100+C85+C40)*C152</f>
        <v>1113.832247373181</v>
      </c>
      <c r="F152" s="37"/>
    </row>
    <row r="153" spans="1:6" x14ac:dyDescent="0.35">
      <c r="A153" s="129" t="s">
        <v>38</v>
      </c>
      <c r="B153" s="129"/>
      <c r="C153" s="46"/>
      <c r="D153" s="50">
        <f>D152</f>
        <v>1113.832247373181</v>
      </c>
    </row>
    <row r="155" spans="1:6" ht="13.3" thickBot="1" x14ac:dyDescent="0.4"/>
    <row r="156" spans="1:6" ht="16.3" thickBot="1" x14ac:dyDescent="0.4">
      <c r="A156" s="126" t="s">
        <v>67</v>
      </c>
      <c r="B156" s="127"/>
      <c r="C156" s="128"/>
    </row>
    <row r="158" spans="1:6" x14ac:dyDescent="0.35">
      <c r="A158" s="101"/>
      <c r="B158" s="101" t="s">
        <v>68</v>
      </c>
      <c r="C158" s="101" t="s">
        <v>13</v>
      </c>
    </row>
    <row r="159" spans="1:6" x14ac:dyDescent="0.35">
      <c r="A159" s="101" t="s">
        <v>14</v>
      </c>
      <c r="B159" s="45" t="s">
        <v>11</v>
      </c>
      <c r="C159" s="51">
        <f>C40</f>
        <v>2293.2654357599999</v>
      </c>
    </row>
    <row r="160" spans="1:6" x14ac:dyDescent="0.35">
      <c r="A160" s="101" t="s">
        <v>15</v>
      </c>
      <c r="B160" s="45" t="s">
        <v>23</v>
      </c>
      <c r="C160" s="51">
        <f>C85</f>
        <v>1886.0278025446801</v>
      </c>
    </row>
    <row r="161" spans="1:4" x14ac:dyDescent="0.35">
      <c r="A161" s="101" t="s">
        <v>16</v>
      </c>
      <c r="B161" s="45" t="s">
        <v>44</v>
      </c>
      <c r="C161" s="51">
        <f>C100</f>
        <v>240.95323958189431</v>
      </c>
    </row>
    <row r="162" spans="1:4" x14ac:dyDescent="0.35">
      <c r="A162" s="101" t="s">
        <v>17</v>
      </c>
      <c r="B162" s="52" t="s">
        <v>50</v>
      </c>
      <c r="C162" s="51">
        <f>C129</f>
        <v>563.60174120475472</v>
      </c>
    </row>
    <row r="163" spans="1:4" x14ac:dyDescent="0.35">
      <c r="A163" s="101" t="s">
        <v>18</v>
      </c>
      <c r="B163" s="45" t="s">
        <v>62</v>
      </c>
      <c r="C163" s="51">
        <f>C139</f>
        <v>211.26487500000002</v>
      </c>
    </row>
    <row r="164" spans="1:4" x14ac:dyDescent="0.35">
      <c r="A164" s="129" t="s">
        <v>69</v>
      </c>
      <c r="B164" s="129"/>
      <c r="C164" s="53">
        <f>SUM(C159:C163)</f>
        <v>5195.113094091329</v>
      </c>
    </row>
    <row r="165" spans="1:4" x14ac:dyDescent="0.35">
      <c r="A165" s="101" t="s">
        <v>20</v>
      </c>
      <c r="B165" s="45" t="s">
        <v>70</v>
      </c>
      <c r="C165" s="51">
        <f>D153</f>
        <v>1113.832247373181</v>
      </c>
    </row>
    <row r="166" spans="1:4" x14ac:dyDescent="0.35">
      <c r="A166" s="129" t="s">
        <v>71</v>
      </c>
      <c r="B166" s="129"/>
      <c r="C166" s="54">
        <f>C164+C165</f>
        <v>6308.9453414645104</v>
      </c>
    </row>
    <row r="167" spans="1:4" ht="13.3" thickBot="1" x14ac:dyDescent="0.4">
      <c r="A167" s="130" t="s">
        <v>131</v>
      </c>
      <c r="B167" s="130"/>
      <c r="C167" s="75"/>
      <c r="D167" s="42"/>
    </row>
    <row r="168" spans="1:4" ht="91.3" customHeight="1" thickBot="1" x14ac:dyDescent="0.4">
      <c r="A168" s="131" t="s">
        <v>133</v>
      </c>
      <c r="B168" s="132"/>
      <c r="C168" s="133"/>
    </row>
    <row r="170" spans="1:4" x14ac:dyDescent="0.35">
      <c r="B170" s="37"/>
    </row>
    <row r="171" spans="1:4" x14ac:dyDescent="0.35">
      <c r="B171" s="37"/>
    </row>
  </sheetData>
  <mergeCells count="41">
    <mergeCell ref="A45:C45"/>
    <mergeCell ref="A1:C1"/>
    <mergeCell ref="A2:C2"/>
    <mergeCell ref="A4:C4"/>
    <mergeCell ref="A5:C5"/>
    <mergeCell ref="A6:C6"/>
    <mergeCell ref="A10:C10"/>
    <mergeCell ref="A17:C17"/>
    <mergeCell ref="A24:C24"/>
    <mergeCell ref="A32:C32"/>
    <mergeCell ref="A40:B40"/>
    <mergeCell ref="A43:C43"/>
    <mergeCell ref="A99:B99"/>
    <mergeCell ref="A51:B51"/>
    <mergeCell ref="A54:D54"/>
    <mergeCell ref="A64:B64"/>
    <mergeCell ref="A66:B66"/>
    <mergeCell ref="A69:C69"/>
    <mergeCell ref="A76:B76"/>
    <mergeCell ref="A79:C79"/>
    <mergeCell ref="A85:B85"/>
    <mergeCell ref="A88:C88"/>
    <mergeCell ref="A94:B94"/>
    <mergeCell ref="A98:B98"/>
    <mergeCell ref="A153:B153"/>
    <mergeCell ref="A100:B100"/>
    <mergeCell ref="A103:C103"/>
    <mergeCell ref="A105:C105"/>
    <mergeCell ref="A114:B114"/>
    <mergeCell ref="A117:C117"/>
    <mergeCell ref="A121:B121"/>
    <mergeCell ref="A124:C124"/>
    <mergeCell ref="A129:B129"/>
    <mergeCell ref="A132:C132"/>
    <mergeCell ref="A139:B139"/>
    <mergeCell ref="A142:D142"/>
    <mergeCell ref="A156:C156"/>
    <mergeCell ref="A164:B164"/>
    <mergeCell ref="A166:B166"/>
    <mergeCell ref="A167:B167"/>
    <mergeCell ref="A168:C168"/>
  </mergeCells>
  <pageMargins left="0.511811024" right="0.511811024" top="0.78740157499999996" bottom="0.78740157499999996" header="0.31496062000000002" footer="0.31496062000000002"/>
  <pageSetup paperSize="9" scale="74" fitToHeight="0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6F8B59-568F-403A-B7EB-8FE4C9006972}">
  <sheetPr>
    <pageSetUpPr fitToPage="1"/>
  </sheetPr>
  <dimension ref="A1:F171"/>
  <sheetViews>
    <sheetView showGridLines="0" topLeftCell="A46" zoomScale="115" zoomScaleNormal="115" workbookViewId="0">
      <selection activeCell="F71" sqref="F71"/>
    </sheetView>
  </sheetViews>
  <sheetFormatPr defaultColWidth="9.15234375" defaultRowHeight="12.9" x14ac:dyDescent="0.35"/>
  <cols>
    <col min="1" max="1" width="9.15234375" style="14"/>
    <col min="2" max="2" width="72.15234375" style="14" customWidth="1"/>
    <col min="3" max="3" width="27.69140625" style="14" customWidth="1"/>
    <col min="4" max="4" width="15.3046875" style="14" bestFit="1" customWidth="1"/>
    <col min="5" max="5" width="14.69140625" style="14" customWidth="1"/>
    <col min="6" max="6" width="12" style="14" customWidth="1"/>
    <col min="7" max="7" width="15.15234375" style="14" customWidth="1"/>
    <col min="8" max="16384" width="9.15234375" style="14"/>
  </cols>
  <sheetData>
    <row r="1" spans="1:3" x14ac:dyDescent="0.35">
      <c r="A1" s="142" t="s">
        <v>107</v>
      </c>
      <c r="B1" s="142"/>
      <c r="C1" s="142"/>
    </row>
    <row r="2" spans="1:3" x14ac:dyDescent="0.35">
      <c r="A2" s="143" t="s">
        <v>200</v>
      </c>
      <c r="B2" s="143"/>
      <c r="C2" s="143"/>
    </row>
    <row r="3" spans="1:3" x14ac:dyDescent="0.35">
      <c r="A3" s="74"/>
      <c r="B3" s="74"/>
      <c r="C3" s="74"/>
    </row>
    <row r="4" spans="1:3" ht="12.9" customHeight="1" x14ac:dyDescent="0.35">
      <c r="A4" s="144" t="s">
        <v>201</v>
      </c>
      <c r="B4" s="144"/>
      <c r="C4" s="144"/>
    </row>
    <row r="5" spans="1:3" x14ac:dyDescent="0.35">
      <c r="A5" s="145" t="s">
        <v>154</v>
      </c>
      <c r="B5" s="145"/>
      <c r="C5" s="145"/>
    </row>
    <row r="6" spans="1:3" x14ac:dyDescent="0.35">
      <c r="A6" s="146" t="s">
        <v>157</v>
      </c>
      <c r="B6" s="146"/>
      <c r="C6" s="146"/>
    </row>
    <row r="10" spans="1:3" x14ac:dyDescent="0.35">
      <c r="A10" s="147" t="s">
        <v>108</v>
      </c>
      <c r="B10" s="147"/>
      <c r="C10" s="147"/>
    </row>
    <row r="11" spans="1:3" x14ac:dyDescent="0.35">
      <c r="A11" s="30" t="s">
        <v>14</v>
      </c>
      <c r="B11" s="29" t="s">
        <v>109</v>
      </c>
      <c r="C11" s="16" t="s">
        <v>110</v>
      </c>
    </row>
    <row r="12" spans="1:3" x14ac:dyDescent="0.35">
      <c r="A12" s="30" t="s">
        <v>15</v>
      </c>
      <c r="B12" s="29" t="s">
        <v>111</v>
      </c>
      <c r="C12" s="17" t="s">
        <v>198</v>
      </c>
    </row>
    <row r="13" spans="1:3" ht="15.65" customHeight="1" x14ac:dyDescent="0.35">
      <c r="A13" s="30" t="s">
        <v>16</v>
      </c>
      <c r="B13" s="29" t="s">
        <v>112</v>
      </c>
      <c r="C13" s="94" t="s">
        <v>156</v>
      </c>
    </row>
    <row r="14" spans="1:3" x14ac:dyDescent="0.35">
      <c r="A14" s="30" t="s">
        <v>17</v>
      </c>
      <c r="B14" s="29" t="s">
        <v>113</v>
      </c>
      <c r="C14" s="18">
        <v>12</v>
      </c>
    </row>
    <row r="17" spans="1:3" ht="15" customHeight="1" x14ac:dyDescent="0.35">
      <c r="A17" s="147" t="s">
        <v>128</v>
      </c>
      <c r="B17" s="147"/>
      <c r="C17" s="147"/>
    </row>
    <row r="18" spans="1:3" ht="25.75" x14ac:dyDescent="0.35">
      <c r="A18" s="30">
        <v>1</v>
      </c>
      <c r="B18" s="28" t="s">
        <v>114</v>
      </c>
      <c r="C18" s="100" t="s">
        <v>115</v>
      </c>
    </row>
    <row r="19" spans="1:3" ht="15" customHeight="1" x14ac:dyDescent="0.35">
      <c r="A19" s="30">
        <v>2</v>
      </c>
      <c r="B19" s="27" t="s">
        <v>116</v>
      </c>
      <c r="C19" s="19" t="s">
        <v>117</v>
      </c>
    </row>
    <row r="20" spans="1:3" ht="15" customHeight="1" x14ac:dyDescent="0.35">
      <c r="A20" s="30">
        <v>3</v>
      </c>
      <c r="B20" s="27" t="s">
        <v>118</v>
      </c>
      <c r="C20" s="105">
        <v>1</v>
      </c>
    </row>
    <row r="21" spans="1:3" ht="15" customHeight="1" x14ac:dyDescent="0.35">
      <c r="A21" s="30">
        <v>4</v>
      </c>
      <c r="B21" s="15" t="s">
        <v>119</v>
      </c>
      <c r="C21" s="21" t="s">
        <v>120</v>
      </c>
    </row>
    <row r="23" spans="1:3" ht="15" customHeight="1" x14ac:dyDescent="0.35"/>
    <row r="24" spans="1:3" ht="15" customHeight="1" x14ac:dyDescent="0.35">
      <c r="A24" s="147" t="s">
        <v>121</v>
      </c>
      <c r="B24" s="147"/>
      <c r="C24" s="147"/>
    </row>
    <row r="25" spans="1:3" ht="15" customHeight="1" x14ac:dyDescent="0.35">
      <c r="A25" s="30">
        <v>1</v>
      </c>
      <c r="B25" s="22" t="s">
        <v>122</v>
      </c>
      <c r="C25" s="23" t="s">
        <v>123</v>
      </c>
    </row>
    <row r="26" spans="1:3" ht="15" customHeight="1" x14ac:dyDescent="0.35">
      <c r="A26" s="30">
        <v>2</v>
      </c>
      <c r="B26" s="22" t="s">
        <v>124</v>
      </c>
      <c r="C26" s="24" t="s">
        <v>125</v>
      </c>
    </row>
    <row r="27" spans="1:3" ht="15" customHeight="1" x14ac:dyDescent="0.35">
      <c r="A27" s="30">
        <v>3</v>
      </c>
      <c r="B27" s="25" t="s">
        <v>155</v>
      </c>
      <c r="C27" s="41">
        <v>1449.96</v>
      </c>
    </row>
    <row r="28" spans="1:3" ht="15" customHeight="1" x14ac:dyDescent="0.35">
      <c r="A28" s="30">
        <v>4</v>
      </c>
      <c r="B28" s="22" t="s">
        <v>126</v>
      </c>
      <c r="C28" s="21" t="s">
        <v>120</v>
      </c>
    </row>
    <row r="29" spans="1:3" ht="15" customHeight="1" x14ac:dyDescent="0.35">
      <c r="A29" s="30">
        <v>5</v>
      </c>
      <c r="B29" s="22" t="s">
        <v>127</v>
      </c>
      <c r="C29" s="26">
        <v>44562</v>
      </c>
    </row>
    <row r="31" spans="1:3" ht="13.3" thickBot="1" x14ac:dyDescent="0.4"/>
    <row r="32" spans="1:3" ht="16.3" thickBot="1" x14ac:dyDescent="0.4">
      <c r="A32" s="135" t="s">
        <v>11</v>
      </c>
      <c r="B32" s="136"/>
      <c r="C32" s="137"/>
    </row>
    <row r="34" spans="1:3" x14ac:dyDescent="0.35">
      <c r="A34" s="101">
        <v>1</v>
      </c>
      <c r="B34" s="101" t="s">
        <v>12</v>
      </c>
      <c r="C34" s="101" t="s">
        <v>13</v>
      </c>
    </row>
    <row r="35" spans="1:3" x14ac:dyDescent="0.35">
      <c r="A35" s="30" t="s">
        <v>14</v>
      </c>
      <c r="B35" s="45" t="s">
        <v>159</v>
      </c>
      <c r="C35" s="56">
        <f>C27</f>
        <v>1449.96</v>
      </c>
    </row>
    <row r="36" spans="1:3" x14ac:dyDescent="0.35">
      <c r="A36" s="30" t="s">
        <v>15</v>
      </c>
      <c r="B36" s="45" t="s">
        <v>160</v>
      </c>
      <c r="C36" s="56">
        <f>C35*30%</f>
        <v>434.988</v>
      </c>
    </row>
    <row r="37" spans="1:3" x14ac:dyDescent="0.35">
      <c r="A37" s="30" t="s">
        <v>17</v>
      </c>
      <c r="B37" s="52" t="s">
        <v>161</v>
      </c>
      <c r="C37" s="69">
        <f>(C35+C36)*58.33%*20%</f>
        <v>219.89803368</v>
      </c>
    </row>
    <row r="38" spans="1:3" x14ac:dyDescent="0.35">
      <c r="A38" s="30" t="s">
        <v>18</v>
      </c>
      <c r="B38" s="52" t="s">
        <v>129</v>
      </c>
      <c r="C38" s="69">
        <f>(C35+C36)*8.33%*1.2</f>
        <v>188.41940208</v>
      </c>
    </row>
    <row r="39" spans="1:3" x14ac:dyDescent="0.35">
      <c r="A39" s="30" t="s">
        <v>20</v>
      </c>
      <c r="B39" s="45" t="s">
        <v>22</v>
      </c>
      <c r="C39" s="56">
        <v>0</v>
      </c>
    </row>
    <row r="40" spans="1:3" x14ac:dyDescent="0.35">
      <c r="A40" s="129" t="s">
        <v>1</v>
      </c>
      <c r="B40" s="129"/>
      <c r="C40" s="57">
        <f>SUM(C35:C39)</f>
        <v>2293.2654357599999</v>
      </c>
    </row>
    <row r="42" spans="1:3" ht="13.3" thickBot="1" x14ac:dyDescent="0.4"/>
    <row r="43" spans="1:3" ht="16.3" thickBot="1" x14ac:dyDescent="0.4">
      <c r="A43" s="135" t="s">
        <v>23</v>
      </c>
      <c r="B43" s="136"/>
      <c r="C43" s="137"/>
    </row>
    <row r="44" spans="1:3" x14ac:dyDescent="0.35">
      <c r="A44" s="32"/>
    </row>
    <row r="45" spans="1:3" x14ac:dyDescent="0.35">
      <c r="A45" s="138" t="s">
        <v>24</v>
      </c>
      <c r="B45" s="138"/>
      <c r="C45" s="138"/>
    </row>
    <row r="47" spans="1:3" x14ac:dyDescent="0.35">
      <c r="A47" s="101" t="s">
        <v>25</v>
      </c>
      <c r="B47" s="101" t="s">
        <v>26</v>
      </c>
      <c r="C47" s="101" t="s">
        <v>13</v>
      </c>
    </row>
    <row r="48" spans="1:3" x14ac:dyDescent="0.35">
      <c r="A48" s="30" t="s">
        <v>14</v>
      </c>
      <c r="B48" s="45" t="s">
        <v>27</v>
      </c>
      <c r="C48" s="56">
        <f>C40/12</f>
        <v>191.10545298</v>
      </c>
    </row>
    <row r="49" spans="1:4" x14ac:dyDescent="0.35">
      <c r="A49" s="30" t="s">
        <v>15</v>
      </c>
      <c r="B49" s="45" t="s">
        <v>74</v>
      </c>
      <c r="C49" s="56">
        <f>C40/12</f>
        <v>191.10545298</v>
      </c>
    </row>
    <row r="50" spans="1:4" x14ac:dyDescent="0.35">
      <c r="A50" s="30" t="s">
        <v>16</v>
      </c>
      <c r="B50" s="45" t="s">
        <v>75</v>
      </c>
      <c r="C50" s="56">
        <f>(C40/12)/3</f>
        <v>63.701817659999996</v>
      </c>
    </row>
    <row r="51" spans="1:4" x14ac:dyDescent="0.35">
      <c r="A51" s="129" t="s">
        <v>1</v>
      </c>
      <c r="B51" s="129"/>
      <c r="C51" s="57">
        <f>SUM(C48:C50)</f>
        <v>445.91272362000001</v>
      </c>
    </row>
    <row r="54" spans="1:4" ht="32.25" customHeight="1" x14ac:dyDescent="0.35">
      <c r="A54" s="139" t="s">
        <v>28</v>
      </c>
      <c r="B54" s="139"/>
      <c r="C54" s="139"/>
      <c r="D54" s="139"/>
    </row>
    <row r="56" spans="1:4" x14ac:dyDescent="0.35">
      <c r="A56" s="101" t="s">
        <v>29</v>
      </c>
      <c r="B56" s="101" t="s">
        <v>30</v>
      </c>
      <c r="C56" s="101" t="s">
        <v>31</v>
      </c>
      <c r="D56" s="101" t="s">
        <v>13</v>
      </c>
    </row>
    <row r="57" spans="1:4" x14ac:dyDescent="0.35">
      <c r="A57" s="30" t="s">
        <v>14</v>
      </c>
      <c r="B57" s="45" t="s">
        <v>32</v>
      </c>
      <c r="C57" s="65">
        <v>0.2</v>
      </c>
      <c r="D57" s="56">
        <f>(C40+C51)*C57</f>
        <v>547.83563187600009</v>
      </c>
    </row>
    <row r="58" spans="1:4" x14ac:dyDescent="0.35">
      <c r="A58" s="30" t="s">
        <v>15</v>
      </c>
      <c r="B58" s="45" t="s">
        <v>33</v>
      </c>
      <c r="C58" s="65">
        <v>2.5000000000000001E-2</v>
      </c>
      <c r="D58" s="56">
        <f>(C40+C51)*C58</f>
        <v>68.479453984500012</v>
      </c>
    </row>
    <row r="59" spans="1:4" x14ac:dyDescent="0.35">
      <c r="A59" s="30" t="s">
        <v>16</v>
      </c>
      <c r="B59" s="45" t="s">
        <v>34</v>
      </c>
      <c r="C59" s="66">
        <v>0.03</v>
      </c>
      <c r="D59" s="56">
        <f>(C40+C51)*C59</f>
        <v>82.1753447814</v>
      </c>
    </row>
    <row r="60" spans="1:4" x14ac:dyDescent="0.35">
      <c r="A60" s="30" t="s">
        <v>17</v>
      </c>
      <c r="B60" s="45" t="s">
        <v>35</v>
      </c>
      <c r="C60" s="65">
        <v>1.4999999999999999E-2</v>
      </c>
      <c r="D60" s="56">
        <f>(C40+C51)*C60</f>
        <v>41.0876723907</v>
      </c>
    </row>
    <row r="61" spans="1:4" x14ac:dyDescent="0.35">
      <c r="A61" s="30" t="s">
        <v>18</v>
      </c>
      <c r="B61" s="45" t="s">
        <v>36</v>
      </c>
      <c r="C61" s="65">
        <v>0.01</v>
      </c>
      <c r="D61" s="56">
        <f>(C40+C51)*C61</f>
        <v>27.391781593800001</v>
      </c>
    </row>
    <row r="62" spans="1:4" x14ac:dyDescent="0.35">
      <c r="A62" s="30" t="s">
        <v>20</v>
      </c>
      <c r="B62" s="45" t="s">
        <v>3</v>
      </c>
      <c r="C62" s="65">
        <v>6.0000000000000001E-3</v>
      </c>
      <c r="D62" s="56">
        <f>(C40+C40)*C62</f>
        <v>27.519185229120001</v>
      </c>
    </row>
    <row r="63" spans="1:4" x14ac:dyDescent="0.35">
      <c r="A63" s="30" t="s">
        <v>21</v>
      </c>
      <c r="B63" s="45" t="s">
        <v>4</v>
      </c>
      <c r="C63" s="65">
        <v>2E-3</v>
      </c>
      <c r="D63" s="56">
        <f>(C40+C51)*C63</f>
        <v>5.4783563187600004</v>
      </c>
    </row>
    <row r="64" spans="1:4" x14ac:dyDescent="0.35">
      <c r="A64" s="140" t="s">
        <v>76</v>
      </c>
      <c r="B64" s="140"/>
      <c r="C64" s="67">
        <f>SUM(C57:C63)</f>
        <v>0.28800000000000003</v>
      </c>
      <c r="D64" s="68">
        <f>SUM(D57:D63)</f>
        <v>799.96742617428015</v>
      </c>
    </row>
    <row r="65" spans="1:4" x14ac:dyDescent="0.35">
      <c r="A65" s="30" t="s">
        <v>37</v>
      </c>
      <c r="B65" s="45" t="s">
        <v>5</v>
      </c>
      <c r="C65" s="65">
        <v>0.08</v>
      </c>
      <c r="D65" s="56">
        <f>(C40+C51)*C65</f>
        <v>219.13425275040001</v>
      </c>
    </row>
    <row r="66" spans="1:4" x14ac:dyDescent="0.35">
      <c r="A66" s="129" t="s">
        <v>38</v>
      </c>
      <c r="B66" s="129"/>
      <c r="C66" s="65">
        <f>SUM(C64:C65)</f>
        <v>0.36800000000000005</v>
      </c>
      <c r="D66" s="57">
        <f>SUM(D64:D65)</f>
        <v>1019.1016789246802</v>
      </c>
    </row>
    <row r="69" spans="1:4" x14ac:dyDescent="0.35">
      <c r="A69" s="138" t="s">
        <v>39</v>
      </c>
      <c r="B69" s="138"/>
      <c r="C69" s="138"/>
    </row>
    <row r="71" spans="1:4" x14ac:dyDescent="0.35">
      <c r="A71" s="101" t="s">
        <v>40</v>
      </c>
      <c r="B71" s="101" t="s">
        <v>41</v>
      </c>
      <c r="C71" s="101" t="s">
        <v>13</v>
      </c>
    </row>
    <row r="72" spans="1:4" x14ac:dyDescent="0.35">
      <c r="A72" s="30" t="s">
        <v>14</v>
      </c>
      <c r="B72" s="45" t="s">
        <v>191</v>
      </c>
      <c r="C72" s="56">
        <v>0</v>
      </c>
    </row>
    <row r="73" spans="1:4" x14ac:dyDescent="0.35">
      <c r="A73" s="30" t="s">
        <v>15</v>
      </c>
      <c r="B73" s="45" t="s">
        <v>204</v>
      </c>
      <c r="C73" s="56">
        <f>(23.13*15)-(23.13*15*2%)</f>
        <v>340.01099999999997</v>
      </c>
    </row>
    <row r="74" spans="1:4" x14ac:dyDescent="0.35">
      <c r="A74" s="30" t="s">
        <v>16</v>
      </c>
      <c r="B74" s="45" t="s">
        <v>162</v>
      </c>
      <c r="C74" s="56">
        <v>45</v>
      </c>
    </row>
    <row r="75" spans="1:4" x14ac:dyDescent="0.35">
      <c r="A75" s="30" t="s">
        <v>17</v>
      </c>
      <c r="B75" s="1" t="s">
        <v>77</v>
      </c>
      <c r="C75" s="56"/>
    </row>
    <row r="76" spans="1:4" x14ac:dyDescent="0.35">
      <c r="A76" s="129" t="s">
        <v>1</v>
      </c>
      <c r="B76" s="129"/>
      <c r="C76" s="57">
        <f>SUM(C72:C75)</f>
        <v>385.01099999999997</v>
      </c>
    </row>
    <row r="79" spans="1:4" x14ac:dyDescent="0.35">
      <c r="A79" s="138" t="s">
        <v>42</v>
      </c>
      <c r="B79" s="138"/>
      <c r="C79" s="138"/>
    </row>
    <row r="81" spans="1:4" x14ac:dyDescent="0.35">
      <c r="A81" s="101">
        <v>2</v>
      </c>
      <c r="B81" s="101" t="s">
        <v>43</v>
      </c>
      <c r="C81" s="101" t="s">
        <v>13</v>
      </c>
    </row>
    <row r="82" spans="1:4" x14ac:dyDescent="0.35">
      <c r="A82" s="30" t="s">
        <v>25</v>
      </c>
      <c r="B82" s="45" t="s">
        <v>26</v>
      </c>
      <c r="C82" s="47">
        <f>C51</f>
        <v>445.91272362000001</v>
      </c>
    </row>
    <row r="83" spans="1:4" x14ac:dyDescent="0.35">
      <c r="A83" s="30" t="s">
        <v>29</v>
      </c>
      <c r="B83" s="45" t="s">
        <v>30</v>
      </c>
      <c r="C83" s="47">
        <f>D66</f>
        <v>1019.1016789246802</v>
      </c>
    </row>
    <row r="84" spans="1:4" x14ac:dyDescent="0.35">
      <c r="A84" s="30" t="s">
        <v>40</v>
      </c>
      <c r="B84" s="45" t="s">
        <v>41</v>
      </c>
      <c r="C84" s="47">
        <f>C76</f>
        <v>385.01099999999997</v>
      </c>
    </row>
    <row r="85" spans="1:4" x14ac:dyDescent="0.35">
      <c r="A85" s="129" t="s">
        <v>1</v>
      </c>
      <c r="B85" s="129"/>
      <c r="C85" s="50">
        <f>SUM(C82:C84)</f>
        <v>1850.0254025446802</v>
      </c>
    </row>
    <row r="86" spans="1:4" x14ac:dyDescent="0.35">
      <c r="A86" s="33"/>
    </row>
    <row r="87" spans="1:4" ht="13.3" thickBot="1" x14ac:dyDescent="0.4"/>
    <row r="88" spans="1:4" ht="16.3" thickBot="1" x14ac:dyDescent="0.4">
      <c r="A88" s="135" t="s">
        <v>44</v>
      </c>
      <c r="B88" s="136"/>
      <c r="C88" s="137"/>
    </row>
    <row r="90" spans="1:4" x14ac:dyDescent="0.35">
      <c r="A90" s="101">
        <v>3</v>
      </c>
      <c r="B90" s="101" t="s">
        <v>45</v>
      </c>
      <c r="C90" s="101" t="s">
        <v>13</v>
      </c>
    </row>
    <row r="91" spans="1:4" x14ac:dyDescent="0.35">
      <c r="A91" s="30" t="s">
        <v>14</v>
      </c>
      <c r="B91" s="60" t="s">
        <v>149</v>
      </c>
      <c r="C91" s="56">
        <f>(C40+C85-D64)/12</f>
        <v>278.61028434419995</v>
      </c>
      <c r="D91" s="34"/>
    </row>
    <row r="92" spans="1:4" x14ac:dyDescent="0.35">
      <c r="A92" s="30" t="s">
        <v>15</v>
      </c>
      <c r="B92" s="60" t="s">
        <v>46</v>
      </c>
      <c r="C92" s="61">
        <f>C91*8%</f>
        <v>22.288822747535995</v>
      </c>
    </row>
    <row r="93" spans="1:4" x14ac:dyDescent="0.35">
      <c r="A93" s="30" t="s">
        <v>16</v>
      </c>
      <c r="B93" s="60" t="s">
        <v>47</v>
      </c>
      <c r="C93" s="61">
        <f>(D65*50%)</f>
        <v>109.5671263752</v>
      </c>
    </row>
    <row r="94" spans="1:4" x14ac:dyDescent="0.35">
      <c r="A94" s="141" t="s">
        <v>78</v>
      </c>
      <c r="B94" s="141"/>
      <c r="C94" s="57">
        <f>(C91+C93)*59.06%</f>
        <v>229.25757877087764</v>
      </c>
    </row>
    <row r="95" spans="1:4" ht="25.75" x14ac:dyDescent="0.35">
      <c r="A95" s="30" t="s">
        <v>17</v>
      </c>
      <c r="B95" s="62" t="s">
        <v>150</v>
      </c>
      <c r="C95" s="61">
        <f>(C40+C85)/12</f>
        <v>345.27423652538999</v>
      </c>
    </row>
    <row r="96" spans="1:4" x14ac:dyDescent="0.35">
      <c r="A96" s="30" t="s">
        <v>18</v>
      </c>
      <c r="B96" s="60" t="s">
        <v>48</v>
      </c>
      <c r="C96" s="56">
        <f>(C95*C66)</f>
        <v>127.06091904134354</v>
      </c>
    </row>
    <row r="97" spans="1:4" x14ac:dyDescent="0.35">
      <c r="A97" s="30" t="s">
        <v>20</v>
      </c>
      <c r="B97" s="60" t="s">
        <v>49</v>
      </c>
      <c r="C97" s="56">
        <f>C93</f>
        <v>109.5671263752</v>
      </c>
    </row>
    <row r="98" spans="1:4" x14ac:dyDescent="0.35">
      <c r="A98" s="141" t="s">
        <v>79</v>
      </c>
      <c r="B98" s="141"/>
      <c r="C98" s="57">
        <f>(C95+C97)*6.56%</f>
        <v>29.8375934062787</v>
      </c>
    </row>
    <row r="99" spans="1:4" x14ac:dyDescent="0.35">
      <c r="A99" s="129" t="s">
        <v>80</v>
      </c>
      <c r="B99" s="129"/>
      <c r="C99" s="63">
        <f>C51*4.51%</f>
        <v>20.110663835262002</v>
      </c>
    </row>
    <row r="100" spans="1:4" x14ac:dyDescent="0.35">
      <c r="A100" s="134" t="s">
        <v>81</v>
      </c>
      <c r="B100" s="134"/>
      <c r="C100" s="64">
        <f>(C94+C98)-C99</f>
        <v>238.9845083418943</v>
      </c>
    </row>
    <row r="102" spans="1:4" ht="13.3" thickBot="1" x14ac:dyDescent="0.4"/>
    <row r="103" spans="1:4" ht="16.3" thickBot="1" x14ac:dyDescent="0.4">
      <c r="A103" s="135" t="s">
        <v>50</v>
      </c>
      <c r="B103" s="136"/>
      <c r="C103" s="137"/>
    </row>
    <row r="105" spans="1:4" x14ac:dyDescent="0.35">
      <c r="A105" s="138" t="s">
        <v>51</v>
      </c>
      <c r="B105" s="138"/>
      <c r="C105" s="138"/>
    </row>
    <row r="106" spans="1:4" x14ac:dyDescent="0.35">
      <c r="A106" s="32"/>
    </row>
    <row r="107" spans="1:4" x14ac:dyDescent="0.35">
      <c r="A107" s="101" t="s">
        <v>52</v>
      </c>
      <c r="B107" s="101" t="s">
        <v>53</v>
      </c>
      <c r="C107" s="101" t="s">
        <v>13</v>
      </c>
    </row>
    <row r="108" spans="1:4" x14ac:dyDescent="0.35">
      <c r="A108" s="30" t="s">
        <v>14</v>
      </c>
      <c r="B108" s="45" t="s">
        <v>2</v>
      </c>
      <c r="C108" s="59"/>
    </row>
    <row r="109" spans="1:4" x14ac:dyDescent="0.35">
      <c r="A109" s="30" t="s">
        <v>15</v>
      </c>
      <c r="B109" s="45" t="s">
        <v>130</v>
      </c>
      <c r="C109" s="47">
        <f>(C100+C85+C40)/30*21.3562/12</f>
        <v>259.96874655014886</v>
      </c>
      <c r="D109" s="37"/>
    </row>
    <row r="110" spans="1:4" x14ac:dyDescent="0.35">
      <c r="A110" s="30" t="s">
        <v>16</v>
      </c>
      <c r="B110" s="45" t="s">
        <v>54</v>
      </c>
      <c r="C110" s="47"/>
    </row>
    <row r="111" spans="1:4" x14ac:dyDescent="0.35">
      <c r="A111" s="30" t="s">
        <v>17</v>
      </c>
      <c r="B111" s="45" t="s">
        <v>55</v>
      </c>
      <c r="C111" s="47"/>
    </row>
    <row r="112" spans="1:4" x14ac:dyDescent="0.35">
      <c r="A112" s="30" t="s">
        <v>18</v>
      </c>
      <c r="B112" s="45" t="s">
        <v>56</v>
      </c>
      <c r="C112" s="47"/>
    </row>
    <row r="113" spans="1:3" x14ac:dyDescent="0.35">
      <c r="A113" s="30" t="s">
        <v>20</v>
      </c>
      <c r="B113" s="45" t="s">
        <v>22</v>
      </c>
      <c r="C113" s="30"/>
    </row>
    <row r="114" spans="1:3" x14ac:dyDescent="0.35">
      <c r="A114" s="129" t="s">
        <v>38</v>
      </c>
      <c r="B114" s="129"/>
      <c r="C114" s="50">
        <f>SUM(C108:C113)</f>
        <v>259.96874655014886</v>
      </c>
    </row>
    <row r="117" spans="1:3" x14ac:dyDescent="0.35">
      <c r="A117" s="138" t="s">
        <v>57</v>
      </c>
      <c r="B117" s="138"/>
      <c r="C117" s="138"/>
    </row>
    <row r="118" spans="1:3" x14ac:dyDescent="0.35">
      <c r="A118" s="32"/>
    </row>
    <row r="119" spans="1:3" x14ac:dyDescent="0.35">
      <c r="A119" s="101" t="s">
        <v>58</v>
      </c>
      <c r="B119" s="101" t="s">
        <v>59</v>
      </c>
      <c r="C119" s="101" t="s">
        <v>13</v>
      </c>
    </row>
    <row r="120" spans="1:3" x14ac:dyDescent="0.35">
      <c r="A120" s="30" t="s">
        <v>14</v>
      </c>
      <c r="B120" s="45" t="s">
        <v>166</v>
      </c>
      <c r="C120" s="56">
        <f>(C40+C85+C100)/220*15</f>
        <v>298.79150090772094</v>
      </c>
    </row>
    <row r="121" spans="1:3" x14ac:dyDescent="0.35">
      <c r="A121" s="129" t="s">
        <v>1</v>
      </c>
      <c r="B121" s="129"/>
      <c r="C121" s="57">
        <f>C120</f>
        <v>298.79150090772094</v>
      </c>
    </row>
    <row r="124" spans="1:3" x14ac:dyDescent="0.35">
      <c r="A124" s="138" t="s">
        <v>60</v>
      </c>
      <c r="B124" s="138"/>
      <c r="C124" s="138"/>
    </row>
    <row r="125" spans="1:3" x14ac:dyDescent="0.35">
      <c r="A125" s="32"/>
    </row>
    <row r="126" spans="1:3" x14ac:dyDescent="0.35">
      <c r="A126" s="101">
        <v>4</v>
      </c>
      <c r="B126" s="102" t="s">
        <v>61</v>
      </c>
      <c r="C126" s="101" t="s">
        <v>13</v>
      </c>
    </row>
    <row r="127" spans="1:3" x14ac:dyDescent="0.35">
      <c r="A127" s="30" t="s">
        <v>52</v>
      </c>
      <c r="B127" s="45" t="s">
        <v>53</v>
      </c>
      <c r="C127" s="47">
        <f>C114</f>
        <v>259.96874655014886</v>
      </c>
    </row>
    <row r="128" spans="1:3" x14ac:dyDescent="0.35">
      <c r="A128" s="30" t="s">
        <v>58</v>
      </c>
      <c r="B128" s="45" t="s">
        <v>165</v>
      </c>
      <c r="C128" s="47">
        <f>(C100+C85+C40)/220*15</f>
        <v>298.791500907721</v>
      </c>
    </row>
    <row r="129" spans="1:4" x14ac:dyDescent="0.35">
      <c r="A129" s="129" t="s">
        <v>1</v>
      </c>
      <c r="B129" s="129"/>
      <c r="C129" s="50">
        <f>SUM(C127:C128)</f>
        <v>558.76024745786981</v>
      </c>
    </row>
    <row r="131" spans="1:4" ht="13.3" thickBot="1" x14ac:dyDescent="0.4"/>
    <row r="132" spans="1:4" ht="16.3" thickBot="1" x14ac:dyDescent="0.4">
      <c r="A132" s="135" t="s">
        <v>62</v>
      </c>
      <c r="B132" s="136"/>
      <c r="C132" s="137"/>
    </row>
    <row r="134" spans="1:4" x14ac:dyDescent="0.35">
      <c r="A134" s="101">
        <v>5</v>
      </c>
      <c r="B134" s="44" t="s">
        <v>6</v>
      </c>
      <c r="C134" s="101" t="s">
        <v>13</v>
      </c>
    </row>
    <row r="135" spans="1:4" x14ac:dyDescent="0.35">
      <c r="A135" s="30" t="s">
        <v>14</v>
      </c>
      <c r="B135" s="45" t="s">
        <v>63</v>
      </c>
      <c r="C135" s="56">
        <f>INSUMOS!E12</f>
        <v>106.48583333333336</v>
      </c>
    </row>
    <row r="136" spans="1:4" x14ac:dyDescent="0.35">
      <c r="A136" s="30" t="s">
        <v>15</v>
      </c>
      <c r="B136" s="45" t="s">
        <v>64</v>
      </c>
      <c r="C136" s="56">
        <f>INSUMOS!E26</f>
        <v>35.888333333333328</v>
      </c>
    </row>
    <row r="137" spans="1:4" x14ac:dyDescent="0.35">
      <c r="A137" s="30" t="s">
        <v>16</v>
      </c>
      <c r="B137" s="45" t="s">
        <v>143</v>
      </c>
      <c r="C137" s="56">
        <f>INSUMOS!E43</f>
        <v>68.890708333333336</v>
      </c>
    </row>
    <row r="138" spans="1:4" x14ac:dyDescent="0.35">
      <c r="A138" s="30" t="s">
        <v>17</v>
      </c>
      <c r="B138" s="45" t="s">
        <v>77</v>
      </c>
      <c r="C138" s="56"/>
      <c r="D138" s="38"/>
    </row>
    <row r="139" spans="1:4" x14ac:dyDescent="0.35">
      <c r="A139" s="129" t="s">
        <v>38</v>
      </c>
      <c r="B139" s="129"/>
      <c r="C139" s="57">
        <f>SUM(C135:C138)</f>
        <v>211.26487500000002</v>
      </c>
    </row>
    <row r="141" spans="1:4" ht="13.3" thickBot="1" x14ac:dyDescent="0.4"/>
    <row r="142" spans="1:4" ht="16.3" thickBot="1" x14ac:dyDescent="0.4">
      <c r="A142" s="135" t="s">
        <v>65</v>
      </c>
      <c r="B142" s="136"/>
      <c r="C142" s="136"/>
      <c r="D142" s="137"/>
    </row>
    <row r="144" spans="1:4" x14ac:dyDescent="0.35">
      <c r="A144" s="101">
        <v>6</v>
      </c>
      <c r="B144" s="44" t="s">
        <v>7</v>
      </c>
      <c r="C144" s="101" t="s">
        <v>31</v>
      </c>
      <c r="D144" s="101" t="s">
        <v>13</v>
      </c>
    </row>
    <row r="145" spans="1:6" x14ac:dyDescent="0.35">
      <c r="A145" s="30" t="s">
        <v>14</v>
      </c>
      <c r="B145" s="45" t="s">
        <v>8</v>
      </c>
      <c r="C145" s="46">
        <v>0.06</v>
      </c>
      <c r="D145" s="47">
        <f>(C139+C129+C100+C94+C40)*C145</f>
        <v>211.8919587198385</v>
      </c>
    </row>
    <row r="146" spans="1:6" x14ac:dyDescent="0.35">
      <c r="A146" s="30" t="s">
        <v>15</v>
      </c>
      <c r="B146" s="45" t="s">
        <v>10</v>
      </c>
      <c r="C146" s="46">
        <v>6.7900000000000002E-2</v>
      </c>
      <c r="D146" s="47">
        <f>(C139+C129+C100+C94+C40)*C146</f>
        <v>239.79106661795058</v>
      </c>
    </row>
    <row r="147" spans="1:6" x14ac:dyDescent="0.35">
      <c r="A147" s="30" t="s">
        <v>16</v>
      </c>
      <c r="B147" s="45" t="s">
        <v>9</v>
      </c>
      <c r="C147" s="46"/>
      <c r="D147" s="47"/>
    </row>
    <row r="148" spans="1:6" x14ac:dyDescent="0.35">
      <c r="A148" s="30"/>
      <c r="B148" s="45" t="s">
        <v>72</v>
      </c>
      <c r="C148" s="46">
        <v>6.4999999999999997E-3</v>
      </c>
      <c r="D148" s="47">
        <f>(C139+C129+C100+C85+C40)*C148</f>
        <v>33.489953049178887</v>
      </c>
    </row>
    <row r="149" spans="1:6" x14ac:dyDescent="0.35">
      <c r="A149" s="30"/>
      <c r="B149" s="45" t="s">
        <v>73</v>
      </c>
      <c r="C149" s="46">
        <v>0.03</v>
      </c>
      <c r="D149" s="47">
        <f>(C139+C129+C100+C85+C40)*C149</f>
        <v>154.56901407313333</v>
      </c>
    </row>
    <row r="150" spans="1:6" x14ac:dyDescent="0.35">
      <c r="A150" s="30"/>
      <c r="B150" s="45" t="s">
        <v>66</v>
      </c>
      <c r="C150" s="46"/>
      <c r="D150" s="47"/>
    </row>
    <row r="151" spans="1:6" x14ac:dyDescent="0.35">
      <c r="A151" s="30"/>
      <c r="B151" s="45" t="s">
        <v>192</v>
      </c>
      <c r="C151" s="48">
        <v>0.05</v>
      </c>
      <c r="D151" s="47">
        <f>(C139+C129+C100+C85+C40)*C151</f>
        <v>257.61502345522223</v>
      </c>
    </row>
    <row r="152" spans="1:6" x14ac:dyDescent="0.35">
      <c r="A152" s="30"/>
      <c r="B152" s="45" t="s">
        <v>86</v>
      </c>
      <c r="C152" s="48">
        <v>0.21440000000000001</v>
      </c>
      <c r="D152" s="49">
        <f>(C139+C129+C100+C85+C40)*C152</f>
        <v>1104.6532205759929</v>
      </c>
      <c r="F152" s="37"/>
    </row>
    <row r="153" spans="1:6" x14ac:dyDescent="0.35">
      <c r="A153" s="129" t="s">
        <v>38</v>
      </c>
      <c r="B153" s="129"/>
      <c r="C153" s="46"/>
      <c r="D153" s="50">
        <f>D152</f>
        <v>1104.6532205759929</v>
      </c>
    </row>
    <row r="155" spans="1:6" ht="13.3" thickBot="1" x14ac:dyDescent="0.4"/>
    <row r="156" spans="1:6" ht="16.3" thickBot="1" x14ac:dyDescent="0.4">
      <c r="A156" s="126" t="s">
        <v>67</v>
      </c>
      <c r="B156" s="127"/>
      <c r="C156" s="128"/>
    </row>
    <row r="158" spans="1:6" x14ac:dyDescent="0.35">
      <c r="A158" s="101"/>
      <c r="B158" s="101" t="s">
        <v>68</v>
      </c>
      <c r="C158" s="101" t="s">
        <v>13</v>
      </c>
    </row>
    <row r="159" spans="1:6" x14ac:dyDescent="0.35">
      <c r="A159" s="101" t="s">
        <v>14</v>
      </c>
      <c r="B159" s="45" t="s">
        <v>11</v>
      </c>
      <c r="C159" s="51">
        <f>C40</f>
        <v>2293.2654357599999</v>
      </c>
    </row>
    <row r="160" spans="1:6" x14ac:dyDescent="0.35">
      <c r="A160" s="101" t="s">
        <v>15</v>
      </c>
      <c r="B160" s="45" t="s">
        <v>23</v>
      </c>
      <c r="C160" s="51">
        <f>C85</f>
        <v>1850.0254025446802</v>
      </c>
    </row>
    <row r="161" spans="1:4" x14ac:dyDescent="0.35">
      <c r="A161" s="101" t="s">
        <v>16</v>
      </c>
      <c r="B161" s="45" t="s">
        <v>44</v>
      </c>
      <c r="C161" s="51">
        <f>C100</f>
        <v>238.9845083418943</v>
      </c>
    </row>
    <row r="162" spans="1:4" x14ac:dyDescent="0.35">
      <c r="A162" s="101" t="s">
        <v>17</v>
      </c>
      <c r="B162" s="52" t="s">
        <v>50</v>
      </c>
      <c r="C162" s="51">
        <f>C129</f>
        <v>558.76024745786981</v>
      </c>
    </row>
    <row r="163" spans="1:4" x14ac:dyDescent="0.35">
      <c r="A163" s="101" t="s">
        <v>18</v>
      </c>
      <c r="B163" s="45" t="s">
        <v>62</v>
      </c>
      <c r="C163" s="51">
        <f>C139</f>
        <v>211.26487500000002</v>
      </c>
    </row>
    <row r="164" spans="1:4" x14ac:dyDescent="0.35">
      <c r="A164" s="129" t="s">
        <v>69</v>
      </c>
      <c r="B164" s="129"/>
      <c r="C164" s="53">
        <f>SUM(C159:C163)</f>
        <v>5152.3004691044434</v>
      </c>
    </row>
    <row r="165" spans="1:4" x14ac:dyDescent="0.35">
      <c r="A165" s="101" t="s">
        <v>20</v>
      </c>
      <c r="B165" s="45" t="s">
        <v>70</v>
      </c>
      <c r="C165" s="51">
        <f>D153</f>
        <v>1104.6532205759929</v>
      </c>
    </row>
    <row r="166" spans="1:4" x14ac:dyDescent="0.35">
      <c r="A166" s="129" t="s">
        <v>71</v>
      </c>
      <c r="B166" s="129"/>
      <c r="C166" s="54">
        <f>C164+C165</f>
        <v>6256.9536896804366</v>
      </c>
    </row>
    <row r="167" spans="1:4" ht="13.3" thickBot="1" x14ac:dyDescent="0.4">
      <c r="A167" s="130" t="s">
        <v>131</v>
      </c>
      <c r="B167" s="130"/>
      <c r="C167" s="75"/>
      <c r="D167" s="42"/>
    </row>
    <row r="168" spans="1:4" ht="91.3" customHeight="1" thickBot="1" x14ac:dyDescent="0.4">
      <c r="A168" s="131" t="s">
        <v>133</v>
      </c>
      <c r="B168" s="132"/>
      <c r="C168" s="133"/>
    </row>
    <row r="170" spans="1:4" x14ac:dyDescent="0.35">
      <c r="B170" s="37"/>
    </row>
    <row r="171" spans="1:4" x14ac:dyDescent="0.35">
      <c r="B171" s="37"/>
    </row>
  </sheetData>
  <mergeCells count="41">
    <mergeCell ref="A45:C45"/>
    <mergeCell ref="A1:C1"/>
    <mergeCell ref="A2:C2"/>
    <mergeCell ref="A4:C4"/>
    <mergeCell ref="A5:C5"/>
    <mergeCell ref="A6:C6"/>
    <mergeCell ref="A10:C10"/>
    <mergeCell ref="A17:C17"/>
    <mergeCell ref="A24:C24"/>
    <mergeCell ref="A32:C32"/>
    <mergeCell ref="A40:B40"/>
    <mergeCell ref="A43:C43"/>
    <mergeCell ref="A99:B99"/>
    <mergeCell ref="A51:B51"/>
    <mergeCell ref="A54:D54"/>
    <mergeCell ref="A64:B64"/>
    <mergeCell ref="A66:B66"/>
    <mergeCell ref="A69:C69"/>
    <mergeCell ref="A76:B76"/>
    <mergeCell ref="A79:C79"/>
    <mergeCell ref="A85:B85"/>
    <mergeCell ref="A88:C88"/>
    <mergeCell ref="A94:B94"/>
    <mergeCell ref="A98:B98"/>
    <mergeCell ref="A153:B153"/>
    <mergeCell ref="A100:B100"/>
    <mergeCell ref="A103:C103"/>
    <mergeCell ref="A105:C105"/>
    <mergeCell ref="A114:B114"/>
    <mergeCell ref="A117:C117"/>
    <mergeCell ref="A121:B121"/>
    <mergeCell ref="A124:C124"/>
    <mergeCell ref="A129:B129"/>
    <mergeCell ref="A132:C132"/>
    <mergeCell ref="A139:B139"/>
    <mergeCell ref="A142:D142"/>
    <mergeCell ref="A156:C156"/>
    <mergeCell ref="A164:B164"/>
    <mergeCell ref="A166:B166"/>
    <mergeCell ref="A167:B167"/>
    <mergeCell ref="A168:C168"/>
  </mergeCells>
  <pageMargins left="0.511811024" right="0.511811024" top="0.78740157499999996" bottom="0.78740157499999996" header="0.31496062000000002" footer="0.31496062000000002"/>
  <pageSetup paperSize="9" scale="74" fitToHeight="0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71"/>
  <sheetViews>
    <sheetView showGridLines="0" topLeftCell="A52" zoomScale="115" zoomScaleNormal="115" workbookViewId="0">
      <selection activeCell="F73" sqref="F73"/>
    </sheetView>
  </sheetViews>
  <sheetFormatPr defaultColWidth="9.15234375" defaultRowHeight="12.9" x14ac:dyDescent="0.35"/>
  <cols>
    <col min="1" max="1" width="9.15234375" style="14"/>
    <col min="2" max="2" width="72.15234375" style="14" customWidth="1"/>
    <col min="3" max="3" width="27.69140625" style="14" customWidth="1"/>
    <col min="4" max="4" width="15.3046875" style="14" bestFit="1" customWidth="1"/>
    <col min="5" max="5" width="14.69140625" style="14" customWidth="1"/>
    <col min="6" max="6" width="12" style="14" customWidth="1"/>
    <col min="7" max="7" width="15.15234375" style="14" customWidth="1"/>
    <col min="8" max="16384" width="9.15234375" style="14"/>
  </cols>
  <sheetData>
    <row r="1" spans="1:3" x14ac:dyDescent="0.35">
      <c r="A1" s="142" t="s">
        <v>107</v>
      </c>
      <c r="B1" s="142"/>
      <c r="C1" s="142"/>
    </row>
    <row r="2" spans="1:3" x14ac:dyDescent="0.35">
      <c r="A2" s="143" t="s">
        <v>200</v>
      </c>
      <c r="B2" s="143"/>
      <c r="C2" s="143"/>
    </row>
    <row r="3" spans="1:3" x14ac:dyDescent="0.35">
      <c r="A3" s="74"/>
      <c r="B3" s="74"/>
      <c r="C3" s="74"/>
    </row>
    <row r="4" spans="1:3" ht="12.9" customHeight="1" x14ac:dyDescent="0.35">
      <c r="A4" s="144" t="s">
        <v>201</v>
      </c>
      <c r="B4" s="144"/>
      <c r="C4" s="144"/>
    </row>
    <row r="5" spans="1:3" x14ac:dyDescent="0.35">
      <c r="A5" s="145" t="s">
        <v>154</v>
      </c>
      <c r="B5" s="145"/>
      <c r="C5" s="145"/>
    </row>
    <row r="6" spans="1:3" x14ac:dyDescent="0.35">
      <c r="A6" s="146" t="s">
        <v>157</v>
      </c>
      <c r="B6" s="146"/>
      <c r="C6" s="146"/>
    </row>
    <row r="10" spans="1:3" x14ac:dyDescent="0.35">
      <c r="A10" s="147" t="s">
        <v>108</v>
      </c>
      <c r="B10" s="147"/>
      <c r="C10" s="147"/>
    </row>
    <row r="11" spans="1:3" x14ac:dyDescent="0.35">
      <c r="A11" s="30" t="s">
        <v>14</v>
      </c>
      <c r="B11" s="29" t="s">
        <v>109</v>
      </c>
      <c r="C11" s="16" t="s">
        <v>110</v>
      </c>
    </row>
    <row r="12" spans="1:3" x14ac:dyDescent="0.35">
      <c r="A12" s="30" t="s">
        <v>15</v>
      </c>
      <c r="B12" s="29" t="s">
        <v>111</v>
      </c>
      <c r="C12" s="17" t="s">
        <v>153</v>
      </c>
    </row>
    <row r="13" spans="1:3" ht="15.65" customHeight="1" x14ac:dyDescent="0.35">
      <c r="A13" s="30" t="s">
        <v>16</v>
      </c>
      <c r="B13" s="29" t="s">
        <v>112</v>
      </c>
      <c r="C13" s="94" t="s">
        <v>156</v>
      </c>
    </row>
    <row r="14" spans="1:3" x14ac:dyDescent="0.35">
      <c r="A14" s="30" t="s">
        <v>17</v>
      </c>
      <c r="B14" s="29" t="s">
        <v>113</v>
      </c>
      <c r="C14" s="18">
        <v>12</v>
      </c>
    </row>
    <row r="17" spans="1:3" ht="15" customHeight="1" x14ac:dyDescent="0.35">
      <c r="A17" s="147" t="s">
        <v>128</v>
      </c>
      <c r="B17" s="147"/>
      <c r="C17" s="147"/>
    </row>
    <row r="18" spans="1:3" ht="25.75" x14ac:dyDescent="0.35">
      <c r="A18" s="30">
        <v>1</v>
      </c>
      <c r="B18" s="28" t="s">
        <v>114</v>
      </c>
      <c r="C18" s="31" t="s">
        <v>115</v>
      </c>
    </row>
    <row r="19" spans="1:3" ht="15" customHeight="1" x14ac:dyDescent="0.35">
      <c r="A19" s="30">
        <v>2</v>
      </c>
      <c r="B19" s="27" t="s">
        <v>116</v>
      </c>
      <c r="C19" s="19" t="s">
        <v>117</v>
      </c>
    </row>
    <row r="20" spans="1:3" ht="15" customHeight="1" x14ac:dyDescent="0.35">
      <c r="A20" s="30">
        <v>3</v>
      </c>
      <c r="B20" s="27" t="s">
        <v>118</v>
      </c>
      <c r="C20" s="105">
        <v>2</v>
      </c>
    </row>
    <row r="21" spans="1:3" ht="15" customHeight="1" x14ac:dyDescent="0.35">
      <c r="A21" s="30">
        <v>4</v>
      </c>
      <c r="B21" s="15" t="s">
        <v>119</v>
      </c>
      <c r="C21" s="21" t="s">
        <v>120</v>
      </c>
    </row>
    <row r="23" spans="1:3" ht="15" customHeight="1" x14ac:dyDescent="0.35"/>
    <row r="24" spans="1:3" ht="15" customHeight="1" x14ac:dyDescent="0.35">
      <c r="A24" s="147" t="s">
        <v>121</v>
      </c>
      <c r="B24" s="147"/>
      <c r="C24" s="147"/>
    </row>
    <row r="25" spans="1:3" ht="15" customHeight="1" x14ac:dyDescent="0.35">
      <c r="A25" s="30">
        <v>1</v>
      </c>
      <c r="B25" s="22" t="s">
        <v>122</v>
      </c>
      <c r="C25" s="23" t="s">
        <v>123</v>
      </c>
    </row>
    <row r="26" spans="1:3" ht="15" customHeight="1" x14ac:dyDescent="0.35">
      <c r="A26" s="30">
        <v>2</v>
      </c>
      <c r="B26" s="22" t="s">
        <v>124</v>
      </c>
      <c r="C26" s="24" t="s">
        <v>125</v>
      </c>
    </row>
    <row r="27" spans="1:3" ht="15" customHeight="1" x14ac:dyDescent="0.35">
      <c r="A27" s="30">
        <v>3</v>
      </c>
      <c r="B27" s="25" t="s">
        <v>155</v>
      </c>
      <c r="C27" s="41">
        <v>1449.96</v>
      </c>
    </row>
    <row r="28" spans="1:3" ht="15" customHeight="1" x14ac:dyDescent="0.35">
      <c r="A28" s="30">
        <v>4</v>
      </c>
      <c r="B28" s="22" t="s">
        <v>126</v>
      </c>
      <c r="C28" s="21" t="s">
        <v>120</v>
      </c>
    </row>
    <row r="29" spans="1:3" ht="15" customHeight="1" x14ac:dyDescent="0.35">
      <c r="A29" s="30">
        <v>5</v>
      </c>
      <c r="B29" s="22" t="s">
        <v>127</v>
      </c>
      <c r="C29" s="26">
        <v>44562</v>
      </c>
    </row>
    <row r="31" spans="1:3" ht="13.3" thickBot="1" x14ac:dyDescent="0.4"/>
    <row r="32" spans="1:3" ht="16.3" thickBot="1" x14ac:dyDescent="0.4">
      <c r="A32" s="135" t="s">
        <v>11</v>
      </c>
      <c r="B32" s="136"/>
      <c r="C32" s="137"/>
    </row>
    <row r="34" spans="1:3" x14ac:dyDescent="0.35">
      <c r="A34" s="43">
        <v>1</v>
      </c>
      <c r="B34" s="43" t="s">
        <v>12</v>
      </c>
      <c r="C34" s="43" t="s">
        <v>13</v>
      </c>
    </row>
    <row r="35" spans="1:3" x14ac:dyDescent="0.35">
      <c r="A35" s="30" t="s">
        <v>14</v>
      </c>
      <c r="B35" s="45" t="s">
        <v>159</v>
      </c>
      <c r="C35" s="109">
        <f>C27</f>
        <v>1449.96</v>
      </c>
    </row>
    <row r="36" spans="1:3" x14ac:dyDescent="0.35">
      <c r="A36" s="30" t="s">
        <v>15</v>
      </c>
      <c r="B36" s="45" t="s">
        <v>160</v>
      </c>
      <c r="C36" s="109">
        <f>C35*30%</f>
        <v>434.988</v>
      </c>
    </row>
    <row r="37" spans="1:3" x14ac:dyDescent="0.35">
      <c r="A37" s="30" t="s">
        <v>17</v>
      </c>
      <c r="B37" s="52" t="s">
        <v>161</v>
      </c>
      <c r="C37" s="112">
        <f>(C35+C36)*58.33%*20%</f>
        <v>219.89803368</v>
      </c>
    </row>
    <row r="38" spans="1:3" x14ac:dyDescent="0.35">
      <c r="A38" s="30" t="s">
        <v>18</v>
      </c>
      <c r="B38" s="52" t="s">
        <v>129</v>
      </c>
      <c r="C38" s="112">
        <f>(C35+C36)*8.33%*1.2</f>
        <v>188.41940208</v>
      </c>
    </row>
    <row r="39" spans="1:3" x14ac:dyDescent="0.35">
      <c r="A39" s="30" t="s">
        <v>20</v>
      </c>
      <c r="B39" s="45" t="s">
        <v>22</v>
      </c>
      <c r="C39" s="109">
        <v>0</v>
      </c>
    </row>
    <row r="40" spans="1:3" x14ac:dyDescent="0.35">
      <c r="A40" s="129" t="s">
        <v>1</v>
      </c>
      <c r="B40" s="129"/>
      <c r="C40" s="111">
        <f>SUM(C35:C39)</f>
        <v>2293.2654357599999</v>
      </c>
    </row>
    <row r="42" spans="1:3" ht="13.3" thickBot="1" x14ac:dyDescent="0.4"/>
    <row r="43" spans="1:3" ht="16.3" thickBot="1" x14ac:dyDescent="0.4">
      <c r="A43" s="135" t="s">
        <v>23</v>
      </c>
      <c r="B43" s="136"/>
      <c r="C43" s="137"/>
    </row>
    <row r="44" spans="1:3" x14ac:dyDescent="0.35">
      <c r="A44" s="32"/>
    </row>
    <row r="45" spans="1:3" x14ac:dyDescent="0.35">
      <c r="A45" s="138" t="s">
        <v>24</v>
      </c>
      <c r="B45" s="138"/>
      <c r="C45" s="138"/>
    </row>
    <row r="47" spans="1:3" x14ac:dyDescent="0.35">
      <c r="A47" s="43" t="s">
        <v>25</v>
      </c>
      <c r="B47" s="43" t="s">
        <v>26</v>
      </c>
      <c r="C47" s="43" t="s">
        <v>13</v>
      </c>
    </row>
    <row r="48" spans="1:3" x14ac:dyDescent="0.35">
      <c r="A48" s="30" t="s">
        <v>14</v>
      </c>
      <c r="B48" s="45" t="s">
        <v>27</v>
      </c>
      <c r="C48" s="109">
        <f>C40/12</f>
        <v>191.10545298</v>
      </c>
    </row>
    <row r="49" spans="1:4" x14ac:dyDescent="0.35">
      <c r="A49" s="30" t="s">
        <v>15</v>
      </c>
      <c r="B49" s="45" t="s">
        <v>74</v>
      </c>
      <c r="C49" s="109">
        <f>C40/12</f>
        <v>191.10545298</v>
      </c>
    </row>
    <row r="50" spans="1:4" x14ac:dyDescent="0.35">
      <c r="A50" s="30" t="s">
        <v>16</v>
      </c>
      <c r="B50" s="45" t="s">
        <v>75</v>
      </c>
      <c r="C50" s="109">
        <f>(C40/12)/3</f>
        <v>63.701817659999996</v>
      </c>
    </row>
    <row r="51" spans="1:4" x14ac:dyDescent="0.35">
      <c r="A51" s="129" t="s">
        <v>1</v>
      </c>
      <c r="B51" s="129"/>
      <c r="C51" s="111">
        <f>SUM(C48:C50)</f>
        <v>445.91272362000001</v>
      </c>
    </row>
    <row r="54" spans="1:4" ht="32.25" customHeight="1" x14ac:dyDescent="0.35">
      <c r="A54" s="139" t="s">
        <v>28</v>
      </c>
      <c r="B54" s="139"/>
      <c r="C54" s="139"/>
      <c r="D54" s="139"/>
    </row>
    <row r="56" spans="1:4" x14ac:dyDescent="0.35">
      <c r="A56" s="43" t="s">
        <v>29</v>
      </c>
      <c r="B56" s="43" t="s">
        <v>30</v>
      </c>
      <c r="C56" s="43" t="s">
        <v>31</v>
      </c>
      <c r="D56" s="43" t="s">
        <v>13</v>
      </c>
    </row>
    <row r="57" spans="1:4" x14ac:dyDescent="0.35">
      <c r="A57" s="30" t="s">
        <v>14</v>
      </c>
      <c r="B57" s="45" t="s">
        <v>32</v>
      </c>
      <c r="C57" s="65">
        <v>0.2</v>
      </c>
      <c r="D57" s="109">
        <f>(C40+C51)*C57</f>
        <v>547.83563187600009</v>
      </c>
    </row>
    <row r="58" spans="1:4" x14ac:dyDescent="0.35">
      <c r="A58" s="30" t="s">
        <v>15</v>
      </c>
      <c r="B58" s="45" t="s">
        <v>33</v>
      </c>
      <c r="C58" s="65">
        <v>2.5000000000000001E-2</v>
      </c>
      <c r="D58" s="109">
        <f>(C40+C51)*C58</f>
        <v>68.479453984500012</v>
      </c>
    </row>
    <row r="59" spans="1:4" x14ac:dyDescent="0.35">
      <c r="A59" s="30" t="s">
        <v>16</v>
      </c>
      <c r="B59" s="45" t="s">
        <v>34</v>
      </c>
      <c r="C59" s="66">
        <v>0.03</v>
      </c>
      <c r="D59" s="109">
        <f>(C40+C51)*C59</f>
        <v>82.1753447814</v>
      </c>
    </row>
    <row r="60" spans="1:4" x14ac:dyDescent="0.35">
      <c r="A60" s="30" t="s">
        <v>17</v>
      </c>
      <c r="B60" s="45" t="s">
        <v>35</v>
      </c>
      <c r="C60" s="65">
        <v>1.4999999999999999E-2</v>
      </c>
      <c r="D60" s="109">
        <f>(C40+C51)*C60</f>
        <v>41.0876723907</v>
      </c>
    </row>
    <row r="61" spans="1:4" x14ac:dyDescent="0.35">
      <c r="A61" s="30" t="s">
        <v>18</v>
      </c>
      <c r="B61" s="45" t="s">
        <v>36</v>
      </c>
      <c r="C61" s="65">
        <v>0.01</v>
      </c>
      <c r="D61" s="109">
        <f>(C40+C51)*C61</f>
        <v>27.391781593800001</v>
      </c>
    </row>
    <row r="62" spans="1:4" x14ac:dyDescent="0.35">
      <c r="A62" s="30" t="s">
        <v>20</v>
      </c>
      <c r="B62" s="45" t="s">
        <v>3</v>
      </c>
      <c r="C62" s="65">
        <v>6.0000000000000001E-3</v>
      </c>
      <c r="D62" s="109">
        <f>(C40+C40)*C62</f>
        <v>27.519185229120001</v>
      </c>
    </row>
    <row r="63" spans="1:4" x14ac:dyDescent="0.35">
      <c r="A63" s="30" t="s">
        <v>21</v>
      </c>
      <c r="B63" s="45" t="s">
        <v>4</v>
      </c>
      <c r="C63" s="65">
        <v>2E-3</v>
      </c>
      <c r="D63" s="109">
        <f>(C40+C51)*C63</f>
        <v>5.4783563187600004</v>
      </c>
    </row>
    <row r="64" spans="1:4" x14ac:dyDescent="0.35">
      <c r="A64" s="140" t="s">
        <v>76</v>
      </c>
      <c r="B64" s="140"/>
      <c r="C64" s="67">
        <f>SUM(C57:C63)</f>
        <v>0.28800000000000003</v>
      </c>
      <c r="D64" s="110">
        <f>SUM(D57:D63)</f>
        <v>799.96742617428015</v>
      </c>
    </row>
    <row r="65" spans="1:4" x14ac:dyDescent="0.35">
      <c r="A65" s="30" t="s">
        <v>37</v>
      </c>
      <c r="B65" s="45" t="s">
        <v>5</v>
      </c>
      <c r="C65" s="65">
        <v>0.08</v>
      </c>
      <c r="D65" s="109">
        <f>(C40+C51)*C65</f>
        <v>219.13425275040001</v>
      </c>
    </row>
    <row r="66" spans="1:4" x14ac:dyDescent="0.35">
      <c r="A66" s="129" t="s">
        <v>38</v>
      </c>
      <c r="B66" s="129"/>
      <c r="C66" s="65">
        <f>SUM(C64:C65)</f>
        <v>0.36800000000000005</v>
      </c>
      <c r="D66" s="111">
        <f>SUM(D64:D65)</f>
        <v>1019.1016789246802</v>
      </c>
    </row>
    <row r="69" spans="1:4" x14ac:dyDescent="0.35">
      <c r="A69" s="138" t="s">
        <v>39</v>
      </c>
      <c r="B69" s="138"/>
      <c r="C69" s="138"/>
    </row>
    <row r="71" spans="1:4" x14ac:dyDescent="0.35">
      <c r="A71" s="43" t="s">
        <v>40</v>
      </c>
      <c r="B71" s="43" t="s">
        <v>41</v>
      </c>
      <c r="C71" s="43" t="s">
        <v>13</v>
      </c>
    </row>
    <row r="72" spans="1:4" x14ac:dyDescent="0.35">
      <c r="A72" s="30" t="s">
        <v>14</v>
      </c>
      <c r="B72" s="45" t="s">
        <v>164</v>
      </c>
      <c r="C72" s="109">
        <f>(4.95*2*15)-(C35/100)*6</f>
        <v>61.502399999999994</v>
      </c>
    </row>
    <row r="73" spans="1:4" x14ac:dyDescent="0.35">
      <c r="A73" s="30" t="s">
        <v>15</v>
      </c>
      <c r="B73" s="45" t="s">
        <v>204</v>
      </c>
      <c r="C73" s="109">
        <f>(23.13*15)-(23.13*15*2%)</f>
        <v>340.01099999999997</v>
      </c>
    </row>
    <row r="74" spans="1:4" x14ac:dyDescent="0.35">
      <c r="A74" s="30" t="s">
        <v>16</v>
      </c>
      <c r="B74" s="45" t="s">
        <v>162</v>
      </c>
      <c r="C74" s="109">
        <v>45</v>
      </c>
    </row>
    <row r="75" spans="1:4" x14ac:dyDescent="0.35">
      <c r="A75" s="30" t="s">
        <v>17</v>
      </c>
      <c r="B75" s="1" t="s">
        <v>77</v>
      </c>
      <c r="C75" s="109"/>
    </row>
    <row r="76" spans="1:4" x14ac:dyDescent="0.35">
      <c r="A76" s="129" t="s">
        <v>1</v>
      </c>
      <c r="B76" s="129"/>
      <c r="C76" s="111">
        <f>SUM(C72:C75)</f>
        <v>446.51339999999993</v>
      </c>
    </row>
    <row r="79" spans="1:4" x14ac:dyDescent="0.35">
      <c r="A79" s="138" t="s">
        <v>42</v>
      </c>
      <c r="B79" s="138"/>
      <c r="C79" s="138"/>
    </row>
    <row r="81" spans="1:4" x14ac:dyDescent="0.35">
      <c r="A81" s="43">
        <v>2</v>
      </c>
      <c r="B81" s="43" t="s">
        <v>43</v>
      </c>
      <c r="C81" s="43" t="s">
        <v>13</v>
      </c>
    </row>
    <row r="82" spans="1:4" x14ac:dyDescent="0.35">
      <c r="A82" s="30" t="s">
        <v>25</v>
      </c>
      <c r="B82" s="45" t="s">
        <v>26</v>
      </c>
      <c r="C82" s="113">
        <f>C51</f>
        <v>445.91272362000001</v>
      </c>
    </row>
    <row r="83" spans="1:4" x14ac:dyDescent="0.35">
      <c r="A83" s="30" t="s">
        <v>29</v>
      </c>
      <c r="B83" s="45" t="s">
        <v>30</v>
      </c>
      <c r="C83" s="113">
        <f>D66</f>
        <v>1019.1016789246802</v>
      </c>
    </row>
    <row r="84" spans="1:4" x14ac:dyDescent="0.35">
      <c r="A84" s="30" t="s">
        <v>40</v>
      </c>
      <c r="B84" s="45" t="s">
        <v>41</v>
      </c>
      <c r="C84" s="113">
        <f>C76</f>
        <v>446.51339999999993</v>
      </c>
    </row>
    <row r="85" spans="1:4" x14ac:dyDescent="0.35">
      <c r="A85" s="129" t="s">
        <v>1</v>
      </c>
      <c r="B85" s="129"/>
      <c r="C85" s="114">
        <f>SUM(C82:C84)</f>
        <v>1911.5278025446801</v>
      </c>
    </row>
    <row r="86" spans="1:4" x14ac:dyDescent="0.35">
      <c r="A86" s="33"/>
    </row>
    <row r="87" spans="1:4" ht="13.3" thickBot="1" x14ac:dyDescent="0.4"/>
    <row r="88" spans="1:4" ht="16.3" thickBot="1" x14ac:dyDescent="0.4">
      <c r="A88" s="135" t="s">
        <v>44</v>
      </c>
      <c r="B88" s="136"/>
      <c r="C88" s="137"/>
    </row>
    <row r="90" spans="1:4" x14ac:dyDescent="0.35">
      <c r="A90" s="43">
        <v>3</v>
      </c>
      <c r="B90" s="43" t="s">
        <v>45</v>
      </c>
      <c r="C90" s="43" t="s">
        <v>13</v>
      </c>
    </row>
    <row r="91" spans="1:4" x14ac:dyDescent="0.35">
      <c r="A91" s="30" t="s">
        <v>14</v>
      </c>
      <c r="B91" s="60" t="s">
        <v>149</v>
      </c>
      <c r="C91" s="109">
        <f>(C40+C85-D64)/12</f>
        <v>283.73548434419996</v>
      </c>
      <c r="D91" s="34"/>
    </row>
    <row r="92" spans="1:4" x14ac:dyDescent="0.35">
      <c r="A92" s="30" t="s">
        <v>15</v>
      </c>
      <c r="B92" s="60" t="s">
        <v>46</v>
      </c>
      <c r="C92" s="115">
        <f>C91*8%</f>
        <v>22.698838747535998</v>
      </c>
    </row>
    <row r="93" spans="1:4" x14ac:dyDescent="0.35">
      <c r="A93" s="30" t="s">
        <v>16</v>
      </c>
      <c r="B93" s="60" t="s">
        <v>47</v>
      </c>
      <c r="C93" s="115">
        <f>(D65*50%)</f>
        <v>109.5671263752</v>
      </c>
    </row>
    <row r="94" spans="1:4" x14ac:dyDescent="0.35">
      <c r="A94" s="141" t="s">
        <v>78</v>
      </c>
      <c r="B94" s="141"/>
      <c r="C94" s="111">
        <f>(C91+C93)*59.06%</f>
        <v>232.28452189087764</v>
      </c>
    </row>
    <row r="95" spans="1:4" ht="25.75" x14ac:dyDescent="0.35">
      <c r="A95" s="30" t="s">
        <v>17</v>
      </c>
      <c r="B95" s="62" t="s">
        <v>150</v>
      </c>
      <c r="C95" s="115">
        <f>(C40+C85)/12</f>
        <v>350.39943652539</v>
      </c>
    </row>
    <row r="96" spans="1:4" x14ac:dyDescent="0.35">
      <c r="A96" s="30" t="s">
        <v>18</v>
      </c>
      <c r="B96" s="60" t="s">
        <v>48</v>
      </c>
      <c r="C96" s="109">
        <f>(C95*C66)</f>
        <v>128.94699264134354</v>
      </c>
    </row>
    <row r="97" spans="1:4" x14ac:dyDescent="0.35">
      <c r="A97" s="30" t="s">
        <v>20</v>
      </c>
      <c r="B97" s="60" t="s">
        <v>49</v>
      </c>
      <c r="C97" s="109">
        <f>C93</f>
        <v>109.5671263752</v>
      </c>
    </row>
    <row r="98" spans="1:4" x14ac:dyDescent="0.35">
      <c r="A98" s="141" t="s">
        <v>79</v>
      </c>
      <c r="B98" s="141"/>
      <c r="C98" s="111">
        <f>(C95+C97)*6.56%</f>
        <v>30.173806526278703</v>
      </c>
    </row>
    <row r="99" spans="1:4" x14ac:dyDescent="0.35">
      <c r="A99" s="129" t="s">
        <v>80</v>
      </c>
      <c r="B99" s="129"/>
      <c r="C99" s="116">
        <f>C51*4.51%</f>
        <v>20.110663835262002</v>
      </c>
    </row>
    <row r="100" spans="1:4" x14ac:dyDescent="0.35">
      <c r="A100" s="134" t="s">
        <v>81</v>
      </c>
      <c r="B100" s="134"/>
      <c r="C100" s="121">
        <f>(C94+C98)-C99</f>
        <v>242.34766458189432</v>
      </c>
    </row>
    <row r="102" spans="1:4" ht="13.3" thickBot="1" x14ac:dyDescent="0.4"/>
    <row r="103" spans="1:4" ht="16.3" thickBot="1" x14ac:dyDescent="0.4">
      <c r="A103" s="135" t="s">
        <v>50</v>
      </c>
      <c r="B103" s="136"/>
      <c r="C103" s="137"/>
    </row>
    <row r="105" spans="1:4" x14ac:dyDescent="0.35">
      <c r="A105" s="138" t="s">
        <v>51</v>
      </c>
      <c r="B105" s="138"/>
      <c r="C105" s="138"/>
    </row>
    <row r="106" spans="1:4" x14ac:dyDescent="0.35">
      <c r="A106" s="32"/>
    </row>
    <row r="107" spans="1:4" x14ac:dyDescent="0.35">
      <c r="A107" s="43" t="s">
        <v>52</v>
      </c>
      <c r="B107" s="43" t="s">
        <v>53</v>
      </c>
      <c r="C107" s="43" t="s">
        <v>13</v>
      </c>
    </row>
    <row r="108" spans="1:4" x14ac:dyDescent="0.35">
      <c r="A108" s="30" t="s">
        <v>14</v>
      </c>
      <c r="B108" s="45" t="s">
        <v>2</v>
      </c>
      <c r="C108" s="59"/>
    </row>
    <row r="109" spans="1:4" x14ac:dyDescent="0.35">
      <c r="A109" s="30" t="s">
        <v>15</v>
      </c>
      <c r="B109" s="45" t="s">
        <v>130</v>
      </c>
      <c r="C109" s="113">
        <f>(C100+C85+C40)/30*21.3562/12</f>
        <v>263.81675152840631</v>
      </c>
      <c r="D109" s="37"/>
    </row>
    <row r="110" spans="1:4" x14ac:dyDescent="0.35">
      <c r="A110" s="30" t="s">
        <v>16</v>
      </c>
      <c r="B110" s="45" t="s">
        <v>54</v>
      </c>
      <c r="C110" s="113"/>
    </row>
    <row r="111" spans="1:4" x14ac:dyDescent="0.35">
      <c r="A111" s="30" t="s">
        <v>17</v>
      </c>
      <c r="B111" s="45" t="s">
        <v>55</v>
      </c>
      <c r="C111" s="113"/>
    </row>
    <row r="112" spans="1:4" x14ac:dyDescent="0.35">
      <c r="A112" s="30" t="s">
        <v>18</v>
      </c>
      <c r="B112" s="45" t="s">
        <v>56</v>
      </c>
      <c r="C112" s="113"/>
    </row>
    <row r="113" spans="1:3" x14ac:dyDescent="0.35">
      <c r="A113" s="30" t="s">
        <v>20</v>
      </c>
      <c r="B113" s="45" t="s">
        <v>22</v>
      </c>
      <c r="C113" s="113"/>
    </row>
    <row r="114" spans="1:3" x14ac:dyDescent="0.35">
      <c r="A114" s="129" t="s">
        <v>38</v>
      </c>
      <c r="B114" s="129"/>
      <c r="C114" s="114">
        <f>SUM(C108:C113)</f>
        <v>263.81675152840631</v>
      </c>
    </row>
    <row r="117" spans="1:3" x14ac:dyDescent="0.35">
      <c r="A117" s="138" t="s">
        <v>57</v>
      </c>
      <c r="B117" s="138"/>
      <c r="C117" s="138"/>
    </row>
    <row r="118" spans="1:3" x14ac:dyDescent="0.35">
      <c r="A118" s="32"/>
    </row>
    <row r="119" spans="1:3" x14ac:dyDescent="0.35">
      <c r="A119" s="43" t="s">
        <v>58</v>
      </c>
      <c r="B119" s="43" t="s">
        <v>59</v>
      </c>
      <c r="C119" s="43" t="s">
        <v>13</v>
      </c>
    </row>
    <row r="120" spans="1:3" x14ac:dyDescent="0.35">
      <c r="A120" s="30" t="s">
        <v>14</v>
      </c>
      <c r="B120" s="45" t="s">
        <v>166</v>
      </c>
      <c r="C120" s="109">
        <f>(C40+C85+C100)/220*15</f>
        <v>303.21415246953916</v>
      </c>
    </row>
    <row r="121" spans="1:3" x14ac:dyDescent="0.35">
      <c r="A121" s="129" t="s">
        <v>1</v>
      </c>
      <c r="B121" s="129"/>
      <c r="C121" s="111">
        <f>C120</f>
        <v>303.21415246953916</v>
      </c>
    </row>
    <row r="124" spans="1:3" x14ac:dyDescent="0.35">
      <c r="A124" s="138" t="s">
        <v>60</v>
      </c>
      <c r="B124" s="138"/>
      <c r="C124" s="138"/>
    </row>
    <row r="125" spans="1:3" x14ac:dyDescent="0.35">
      <c r="A125" s="32"/>
    </row>
    <row r="126" spans="1:3" x14ac:dyDescent="0.35">
      <c r="A126" s="43">
        <v>4</v>
      </c>
      <c r="B126" s="58" t="s">
        <v>61</v>
      </c>
      <c r="C126" s="43" t="s">
        <v>13</v>
      </c>
    </row>
    <row r="127" spans="1:3" x14ac:dyDescent="0.35">
      <c r="A127" s="30" t="s">
        <v>52</v>
      </c>
      <c r="B127" s="45" t="s">
        <v>53</v>
      </c>
      <c r="C127" s="113">
        <f>C114</f>
        <v>263.81675152840631</v>
      </c>
    </row>
    <row r="128" spans="1:3" x14ac:dyDescent="0.35">
      <c r="A128" s="30" t="s">
        <v>58</v>
      </c>
      <c r="B128" s="45" t="s">
        <v>165</v>
      </c>
      <c r="C128" s="113">
        <f>(C100+C85+C40)/220*15</f>
        <v>303.21415246953916</v>
      </c>
    </row>
    <row r="129" spans="1:4" x14ac:dyDescent="0.35">
      <c r="A129" s="129" t="s">
        <v>1</v>
      </c>
      <c r="B129" s="129"/>
      <c r="C129" s="114">
        <f>SUM(C127:C128)</f>
        <v>567.03090399794542</v>
      </c>
    </row>
    <row r="131" spans="1:4" ht="13.3" thickBot="1" x14ac:dyDescent="0.4"/>
    <row r="132" spans="1:4" ht="16.3" thickBot="1" x14ac:dyDescent="0.4">
      <c r="A132" s="135" t="s">
        <v>62</v>
      </c>
      <c r="B132" s="136"/>
      <c r="C132" s="137"/>
    </row>
    <row r="134" spans="1:4" x14ac:dyDescent="0.35">
      <c r="A134" s="43">
        <v>5</v>
      </c>
      <c r="B134" s="44" t="s">
        <v>6</v>
      </c>
      <c r="C134" s="43" t="s">
        <v>13</v>
      </c>
    </row>
    <row r="135" spans="1:4" x14ac:dyDescent="0.35">
      <c r="A135" s="30" t="s">
        <v>14</v>
      </c>
      <c r="B135" s="45" t="s">
        <v>63</v>
      </c>
      <c r="C135" s="109">
        <f>INSUMOS!E12</f>
        <v>106.48583333333336</v>
      </c>
    </row>
    <row r="136" spans="1:4" x14ac:dyDescent="0.35">
      <c r="A136" s="30" t="s">
        <v>15</v>
      </c>
      <c r="B136" s="45" t="s">
        <v>64</v>
      </c>
      <c r="C136" s="109">
        <f>INSUMOS!E26</f>
        <v>35.888333333333328</v>
      </c>
    </row>
    <row r="137" spans="1:4" x14ac:dyDescent="0.35">
      <c r="A137" s="30" t="s">
        <v>16</v>
      </c>
      <c r="B137" s="45" t="s">
        <v>143</v>
      </c>
      <c r="C137" s="109">
        <f>INSUMOS!E43</f>
        <v>68.890708333333336</v>
      </c>
    </row>
    <row r="138" spans="1:4" x14ac:dyDescent="0.35">
      <c r="A138" s="30" t="s">
        <v>17</v>
      </c>
      <c r="B138" s="45" t="s">
        <v>77</v>
      </c>
      <c r="C138" s="109"/>
      <c r="D138" s="38"/>
    </row>
    <row r="139" spans="1:4" x14ac:dyDescent="0.35">
      <c r="A139" s="129" t="s">
        <v>38</v>
      </c>
      <c r="B139" s="129"/>
      <c r="C139" s="111">
        <f>SUM(C135:C138)</f>
        <v>211.26487500000002</v>
      </c>
    </row>
    <row r="141" spans="1:4" ht="13.3" thickBot="1" x14ac:dyDescent="0.4"/>
    <row r="142" spans="1:4" ht="16.3" thickBot="1" x14ac:dyDescent="0.4">
      <c r="A142" s="135" t="s">
        <v>65</v>
      </c>
      <c r="B142" s="136"/>
      <c r="C142" s="136"/>
      <c r="D142" s="137"/>
    </row>
    <row r="144" spans="1:4" x14ac:dyDescent="0.35">
      <c r="A144" s="43">
        <v>6</v>
      </c>
      <c r="B144" s="44" t="s">
        <v>7</v>
      </c>
      <c r="C144" s="43" t="s">
        <v>31</v>
      </c>
      <c r="D144" s="43" t="s">
        <v>13</v>
      </c>
    </row>
    <row r="145" spans="1:6" x14ac:dyDescent="0.35">
      <c r="A145" s="30" t="s">
        <v>14</v>
      </c>
      <c r="B145" s="45" t="s">
        <v>8</v>
      </c>
      <c r="C145" s="46">
        <v>0.06</v>
      </c>
      <c r="D145" s="113">
        <f>(C139+C129+C100+C94+C40)*C145</f>
        <v>212.77160407384304</v>
      </c>
    </row>
    <row r="146" spans="1:6" x14ac:dyDescent="0.35">
      <c r="A146" s="30" t="s">
        <v>15</v>
      </c>
      <c r="B146" s="45" t="s">
        <v>10</v>
      </c>
      <c r="C146" s="46">
        <v>6.7900000000000002E-2</v>
      </c>
      <c r="D146" s="113">
        <f>(C139+C129+C100+C94+C40)*C146</f>
        <v>240.78653194356573</v>
      </c>
    </row>
    <row r="147" spans="1:6" x14ac:dyDescent="0.35">
      <c r="A147" s="30" t="s">
        <v>16</v>
      </c>
      <c r="B147" s="45" t="s">
        <v>9</v>
      </c>
      <c r="C147" s="46"/>
      <c r="D147" s="113"/>
    </row>
    <row r="148" spans="1:6" x14ac:dyDescent="0.35">
      <c r="A148" s="30"/>
      <c r="B148" s="45" t="s">
        <v>72</v>
      </c>
      <c r="C148" s="46">
        <v>6.4999999999999997E-3</v>
      </c>
      <c r="D148" s="113">
        <f>(C139+C129+C100+C85+C40)*C148</f>
        <v>33.965338432249375</v>
      </c>
    </row>
    <row r="149" spans="1:6" x14ac:dyDescent="0.35">
      <c r="A149" s="30"/>
      <c r="B149" s="45" t="s">
        <v>73</v>
      </c>
      <c r="C149" s="46">
        <v>0.03</v>
      </c>
      <c r="D149" s="113">
        <f>(C139+C129+C100+C85+C40)*C149</f>
        <v>156.76310045653557</v>
      </c>
    </row>
    <row r="150" spans="1:6" x14ac:dyDescent="0.35">
      <c r="A150" s="30"/>
      <c r="B150" s="45" t="s">
        <v>66</v>
      </c>
      <c r="C150" s="46"/>
      <c r="D150" s="113"/>
    </row>
    <row r="151" spans="1:6" x14ac:dyDescent="0.35">
      <c r="A151" s="30"/>
      <c r="B151" s="45" t="s">
        <v>167</v>
      </c>
      <c r="C151" s="48">
        <v>0.05</v>
      </c>
      <c r="D151" s="113">
        <f>(C139+C129+C100+C85+C40)*C151</f>
        <v>261.27183409422599</v>
      </c>
    </row>
    <row r="152" spans="1:6" x14ac:dyDescent="0.35">
      <c r="A152" s="30"/>
      <c r="B152" s="45" t="s">
        <v>86</v>
      </c>
      <c r="C152" s="48">
        <v>0.21440000000000001</v>
      </c>
      <c r="D152" s="120">
        <f>(C139+C129+C100+C85+C40)*C152</f>
        <v>1120.3336245960409</v>
      </c>
      <c r="F152" s="37"/>
    </row>
    <row r="153" spans="1:6" x14ac:dyDescent="0.35">
      <c r="A153" s="129" t="s">
        <v>38</v>
      </c>
      <c r="B153" s="129"/>
      <c r="C153" s="46"/>
      <c r="D153" s="114">
        <f>D152</f>
        <v>1120.3336245960409</v>
      </c>
    </row>
    <row r="155" spans="1:6" ht="13.3" thickBot="1" x14ac:dyDescent="0.4"/>
    <row r="156" spans="1:6" ht="16.3" thickBot="1" x14ac:dyDescent="0.4">
      <c r="A156" s="126" t="s">
        <v>67</v>
      </c>
      <c r="B156" s="127"/>
      <c r="C156" s="128"/>
    </row>
    <row r="158" spans="1:6" x14ac:dyDescent="0.35">
      <c r="A158" s="43"/>
      <c r="B158" s="43" t="s">
        <v>68</v>
      </c>
      <c r="C158" s="43" t="s">
        <v>13</v>
      </c>
    </row>
    <row r="159" spans="1:6" x14ac:dyDescent="0.35">
      <c r="A159" s="43" t="s">
        <v>14</v>
      </c>
      <c r="B159" s="45" t="s">
        <v>11</v>
      </c>
      <c r="C159" s="117">
        <f>C40</f>
        <v>2293.2654357599999</v>
      </c>
    </row>
    <row r="160" spans="1:6" x14ac:dyDescent="0.35">
      <c r="A160" s="43" t="s">
        <v>15</v>
      </c>
      <c r="B160" s="45" t="s">
        <v>23</v>
      </c>
      <c r="C160" s="117">
        <f>C85</f>
        <v>1911.5278025446801</v>
      </c>
    </row>
    <row r="161" spans="1:4" x14ac:dyDescent="0.35">
      <c r="A161" s="43" t="s">
        <v>16</v>
      </c>
      <c r="B161" s="45" t="s">
        <v>44</v>
      </c>
      <c r="C161" s="117">
        <f>C100</f>
        <v>242.34766458189432</v>
      </c>
    </row>
    <row r="162" spans="1:4" x14ac:dyDescent="0.35">
      <c r="A162" s="43" t="s">
        <v>17</v>
      </c>
      <c r="B162" s="52" t="s">
        <v>50</v>
      </c>
      <c r="C162" s="117">
        <f>C129</f>
        <v>567.03090399794542</v>
      </c>
    </row>
    <row r="163" spans="1:4" x14ac:dyDescent="0.35">
      <c r="A163" s="43" t="s">
        <v>18</v>
      </c>
      <c r="B163" s="45" t="s">
        <v>62</v>
      </c>
      <c r="C163" s="117">
        <f>C139</f>
        <v>211.26487500000002</v>
      </c>
    </row>
    <row r="164" spans="1:4" x14ac:dyDescent="0.35">
      <c r="A164" s="129" t="s">
        <v>69</v>
      </c>
      <c r="B164" s="129"/>
      <c r="C164" s="118">
        <f>SUM(C159:C163)</f>
        <v>5225.4366818845201</v>
      </c>
    </row>
    <row r="165" spans="1:4" x14ac:dyDescent="0.35">
      <c r="A165" s="43" t="s">
        <v>20</v>
      </c>
      <c r="B165" s="45" t="s">
        <v>70</v>
      </c>
      <c r="C165" s="117">
        <f>D153</f>
        <v>1120.3336245960409</v>
      </c>
    </row>
    <row r="166" spans="1:4" x14ac:dyDescent="0.35">
      <c r="A166" s="129" t="s">
        <v>71</v>
      </c>
      <c r="B166" s="129"/>
      <c r="C166" s="119">
        <f>C164+C165</f>
        <v>6345.770306480561</v>
      </c>
    </row>
    <row r="167" spans="1:4" ht="13.3" thickBot="1" x14ac:dyDescent="0.4">
      <c r="A167" s="130" t="s">
        <v>131</v>
      </c>
      <c r="B167" s="130"/>
      <c r="C167" s="75"/>
      <c r="D167" s="42"/>
    </row>
    <row r="168" spans="1:4" ht="91.3" customHeight="1" thickBot="1" x14ac:dyDescent="0.4">
      <c r="A168" s="131" t="s">
        <v>133</v>
      </c>
      <c r="B168" s="132"/>
      <c r="C168" s="133"/>
    </row>
    <row r="170" spans="1:4" x14ac:dyDescent="0.35">
      <c r="B170" s="37"/>
    </row>
    <row r="171" spans="1:4" x14ac:dyDescent="0.35">
      <c r="B171" s="37"/>
    </row>
  </sheetData>
  <mergeCells count="41">
    <mergeCell ref="A167:B167"/>
    <mergeCell ref="A117:C117"/>
    <mergeCell ref="A100:B100"/>
    <mergeCell ref="A69:C69"/>
    <mergeCell ref="A168:C168"/>
    <mergeCell ref="A32:C32"/>
    <mergeCell ref="A40:B40"/>
    <mergeCell ref="A43:C43"/>
    <mergeCell ref="A45:C45"/>
    <mergeCell ref="A51:B51"/>
    <mergeCell ref="A54:D54"/>
    <mergeCell ref="A64:B64"/>
    <mergeCell ref="A66:B66"/>
    <mergeCell ref="A166:B166"/>
    <mergeCell ref="A124:C124"/>
    <mergeCell ref="A129:B129"/>
    <mergeCell ref="A132:C132"/>
    <mergeCell ref="A139:B139"/>
    <mergeCell ref="A153:B153"/>
    <mergeCell ref="A142:D142"/>
    <mergeCell ref="A24:C24"/>
    <mergeCell ref="A1:C1"/>
    <mergeCell ref="A2:C2"/>
    <mergeCell ref="A156:C156"/>
    <mergeCell ref="A164:B164"/>
    <mergeCell ref="A121:B121"/>
    <mergeCell ref="A76:B76"/>
    <mergeCell ref="A79:C79"/>
    <mergeCell ref="A85:B85"/>
    <mergeCell ref="A88:C88"/>
    <mergeCell ref="A94:B94"/>
    <mergeCell ref="A98:B98"/>
    <mergeCell ref="A99:B99"/>
    <mergeCell ref="A103:C103"/>
    <mergeCell ref="A105:C105"/>
    <mergeCell ref="A114:B114"/>
    <mergeCell ref="A17:C17"/>
    <mergeCell ref="A10:C10"/>
    <mergeCell ref="A6:C6"/>
    <mergeCell ref="A5:C5"/>
    <mergeCell ref="A4:C4"/>
  </mergeCells>
  <pageMargins left="0.511811024" right="0.511811024" top="0.78740157499999996" bottom="0.78740157499999996" header="0.31496062000000002" footer="0.31496062000000002"/>
  <pageSetup paperSize="9" scale="74" fitToHeight="0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343823-60F7-41C5-9B50-D92FC3D1DF16}">
  <sheetPr>
    <pageSetUpPr fitToPage="1"/>
  </sheetPr>
  <dimension ref="A1:F168"/>
  <sheetViews>
    <sheetView showGridLines="0" topLeftCell="A43" zoomScale="115" zoomScaleNormal="115" workbookViewId="0">
      <selection activeCell="F74" sqref="F74"/>
    </sheetView>
  </sheetViews>
  <sheetFormatPr defaultColWidth="9.15234375" defaultRowHeight="12.9" x14ac:dyDescent="0.35"/>
  <cols>
    <col min="1" max="1" width="9.15234375" style="14"/>
    <col min="2" max="2" width="72.15234375" style="14" customWidth="1"/>
    <col min="3" max="3" width="23.921875" style="14" customWidth="1"/>
    <col min="4" max="4" width="15.3046875" style="14" bestFit="1" customWidth="1"/>
    <col min="5" max="5" width="14.69140625" style="14" customWidth="1"/>
    <col min="6" max="6" width="12" style="14" customWidth="1"/>
    <col min="7" max="7" width="15.15234375" style="14" customWidth="1"/>
    <col min="8" max="16384" width="9.15234375" style="14"/>
  </cols>
  <sheetData>
    <row r="1" spans="1:3" x14ac:dyDescent="0.35">
      <c r="A1" s="142" t="s">
        <v>107</v>
      </c>
      <c r="B1" s="142"/>
      <c r="C1" s="142"/>
    </row>
    <row r="2" spans="1:3" x14ac:dyDescent="0.35">
      <c r="A2" s="143" t="s">
        <v>200</v>
      </c>
      <c r="B2" s="143"/>
      <c r="C2" s="143"/>
    </row>
    <row r="3" spans="1:3" x14ac:dyDescent="0.35">
      <c r="A3" s="74"/>
      <c r="B3" s="74"/>
      <c r="C3" s="74"/>
    </row>
    <row r="4" spans="1:3" ht="12.9" customHeight="1" x14ac:dyDescent="0.35">
      <c r="A4" s="144" t="s">
        <v>201</v>
      </c>
      <c r="B4" s="144"/>
      <c r="C4" s="144"/>
    </row>
    <row r="5" spans="1:3" x14ac:dyDescent="0.35">
      <c r="A5" s="145" t="s">
        <v>154</v>
      </c>
      <c r="B5" s="145"/>
      <c r="C5" s="145"/>
    </row>
    <row r="6" spans="1:3" x14ac:dyDescent="0.35">
      <c r="A6" s="146" t="s">
        <v>157</v>
      </c>
      <c r="B6" s="146"/>
      <c r="C6" s="146"/>
    </row>
    <row r="10" spans="1:3" x14ac:dyDescent="0.35">
      <c r="A10" s="147" t="s">
        <v>108</v>
      </c>
      <c r="B10" s="147"/>
      <c r="C10" s="147"/>
    </row>
    <row r="11" spans="1:3" x14ac:dyDescent="0.35">
      <c r="A11" s="30" t="s">
        <v>14</v>
      </c>
      <c r="B11" s="29" t="s">
        <v>109</v>
      </c>
      <c r="C11" s="16" t="s">
        <v>110</v>
      </c>
    </row>
    <row r="12" spans="1:3" x14ac:dyDescent="0.35">
      <c r="A12" s="30" t="s">
        <v>15</v>
      </c>
      <c r="B12" s="29" t="s">
        <v>111</v>
      </c>
      <c r="C12" s="17" t="s">
        <v>195</v>
      </c>
    </row>
    <row r="13" spans="1:3" ht="15.65" customHeight="1" x14ac:dyDescent="0.35">
      <c r="A13" s="30" t="s">
        <v>16</v>
      </c>
      <c r="B13" s="29" t="s">
        <v>112</v>
      </c>
      <c r="C13" s="39" t="s">
        <v>156</v>
      </c>
    </row>
    <row r="14" spans="1:3" x14ac:dyDescent="0.35">
      <c r="A14" s="30" t="s">
        <v>17</v>
      </c>
      <c r="B14" s="29" t="s">
        <v>113</v>
      </c>
      <c r="C14" s="18">
        <v>12</v>
      </c>
    </row>
    <row r="17" spans="1:3" ht="15" customHeight="1" x14ac:dyDescent="0.35">
      <c r="A17" s="147" t="s">
        <v>128</v>
      </c>
      <c r="B17" s="147"/>
      <c r="C17" s="147"/>
    </row>
    <row r="18" spans="1:3" ht="30.9" customHeight="1" x14ac:dyDescent="0.35">
      <c r="A18" s="30">
        <v>1</v>
      </c>
      <c r="B18" s="70" t="s">
        <v>114</v>
      </c>
      <c r="C18" s="100" t="s">
        <v>158</v>
      </c>
    </row>
    <row r="19" spans="1:3" ht="15" customHeight="1" x14ac:dyDescent="0.35">
      <c r="A19" s="30">
        <v>2</v>
      </c>
      <c r="B19" s="27" t="s">
        <v>116</v>
      </c>
      <c r="C19" s="19" t="s">
        <v>117</v>
      </c>
    </row>
    <row r="20" spans="1:3" ht="15" customHeight="1" x14ac:dyDescent="0.35">
      <c r="A20" s="30">
        <v>3</v>
      </c>
      <c r="B20" s="27" t="s">
        <v>118</v>
      </c>
      <c r="C20" s="20">
        <v>1</v>
      </c>
    </row>
    <row r="21" spans="1:3" ht="15" customHeight="1" x14ac:dyDescent="0.35">
      <c r="A21" s="30">
        <v>4</v>
      </c>
      <c r="B21" s="27" t="s">
        <v>119</v>
      </c>
      <c r="C21" s="21" t="s">
        <v>120</v>
      </c>
    </row>
    <row r="23" spans="1:3" ht="15" customHeight="1" x14ac:dyDescent="0.35"/>
    <row r="24" spans="1:3" ht="15" customHeight="1" x14ac:dyDescent="0.35">
      <c r="A24" s="147" t="s">
        <v>121</v>
      </c>
      <c r="B24" s="147"/>
      <c r="C24" s="147"/>
    </row>
    <row r="25" spans="1:3" ht="15" customHeight="1" x14ac:dyDescent="0.35">
      <c r="A25" s="30">
        <v>1</v>
      </c>
      <c r="B25" s="22" t="s">
        <v>122</v>
      </c>
      <c r="C25" s="23" t="s">
        <v>123</v>
      </c>
    </row>
    <row r="26" spans="1:3" ht="15" customHeight="1" x14ac:dyDescent="0.35">
      <c r="A26" s="30">
        <v>2</v>
      </c>
      <c r="B26" s="22" t="s">
        <v>124</v>
      </c>
      <c r="C26" s="40" t="s">
        <v>125</v>
      </c>
    </row>
    <row r="27" spans="1:3" ht="15" customHeight="1" x14ac:dyDescent="0.35">
      <c r="A27" s="30">
        <v>3</v>
      </c>
      <c r="B27" s="25" t="s">
        <v>155</v>
      </c>
      <c r="C27" s="41">
        <v>1449.96</v>
      </c>
    </row>
    <row r="28" spans="1:3" ht="15" customHeight="1" x14ac:dyDescent="0.35">
      <c r="A28" s="30">
        <v>4</v>
      </c>
      <c r="B28" s="22" t="s">
        <v>126</v>
      </c>
      <c r="C28" s="21" t="s">
        <v>120</v>
      </c>
    </row>
    <row r="29" spans="1:3" ht="15" customHeight="1" x14ac:dyDescent="0.35">
      <c r="A29" s="30">
        <v>5</v>
      </c>
      <c r="B29" s="22" t="s">
        <v>127</v>
      </c>
      <c r="C29" s="26">
        <v>44562</v>
      </c>
    </row>
    <row r="31" spans="1:3" ht="13.3" thickBot="1" x14ac:dyDescent="0.4"/>
    <row r="32" spans="1:3" ht="16.3" thickBot="1" x14ac:dyDescent="0.4">
      <c r="A32" s="135" t="s">
        <v>11</v>
      </c>
      <c r="B32" s="136"/>
      <c r="C32" s="137"/>
    </row>
    <row r="34" spans="1:3" x14ac:dyDescent="0.35">
      <c r="A34" s="101">
        <v>1</v>
      </c>
      <c r="B34" s="101" t="s">
        <v>12</v>
      </c>
      <c r="C34" s="101" t="s">
        <v>13</v>
      </c>
    </row>
    <row r="35" spans="1:3" x14ac:dyDescent="0.35">
      <c r="A35" s="30" t="s">
        <v>14</v>
      </c>
      <c r="B35" s="45" t="s">
        <v>159</v>
      </c>
      <c r="C35" s="56">
        <f>C27</f>
        <v>1449.96</v>
      </c>
    </row>
    <row r="36" spans="1:3" x14ac:dyDescent="0.35">
      <c r="A36" s="30" t="s">
        <v>15</v>
      </c>
      <c r="B36" s="45" t="s">
        <v>203</v>
      </c>
      <c r="C36" s="56">
        <f>C35*30%</f>
        <v>434.988</v>
      </c>
    </row>
    <row r="37" spans="1:3" x14ac:dyDescent="0.35">
      <c r="A37" s="30" t="s">
        <v>17</v>
      </c>
      <c r="B37" s="45" t="s">
        <v>0</v>
      </c>
      <c r="C37" s="56"/>
    </row>
    <row r="38" spans="1:3" x14ac:dyDescent="0.35">
      <c r="A38" s="30" t="s">
        <v>18</v>
      </c>
      <c r="B38" s="45" t="s">
        <v>19</v>
      </c>
      <c r="C38" s="56"/>
    </row>
    <row r="39" spans="1:3" x14ac:dyDescent="0.35">
      <c r="A39" s="30" t="s">
        <v>20</v>
      </c>
      <c r="B39" s="45" t="s">
        <v>22</v>
      </c>
      <c r="C39" s="56"/>
    </row>
    <row r="40" spans="1:3" x14ac:dyDescent="0.35">
      <c r="A40" s="129" t="s">
        <v>1</v>
      </c>
      <c r="B40" s="129"/>
      <c r="C40" s="57">
        <f>SUM(C35:C39)</f>
        <v>1884.9480000000001</v>
      </c>
    </row>
    <row r="43" spans="1:3" x14ac:dyDescent="0.35">
      <c r="A43" s="148" t="s">
        <v>23</v>
      </c>
      <c r="B43" s="148"/>
      <c r="C43" s="148"/>
    </row>
    <row r="44" spans="1:3" x14ac:dyDescent="0.35">
      <c r="A44" s="32"/>
    </row>
    <row r="45" spans="1:3" x14ac:dyDescent="0.35">
      <c r="A45" s="138" t="s">
        <v>24</v>
      </c>
      <c r="B45" s="138"/>
      <c r="C45" s="138"/>
    </row>
    <row r="47" spans="1:3" x14ac:dyDescent="0.35">
      <c r="A47" s="101" t="s">
        <v>25</v>
      </c>
      <c r="B47" s="101" t="s">
        <v>26</v>
      </c>
      <c r="C47" s="101" t="s">
        <v>13</v>
      </c>
    </row>
    <row r="48" spans="1:3" x14ac:dyDescent="0.35">
      <c r="A48" s="30" t="s">
        <v>14</v>
      </c>
      <c r="B48" s="45" t="s">
        <v>27</v>
      </c>
      <c r="C48" s="56">
        <f>C40/12</f>
        <v>157.07900000000001</v>
      </c>
    </row>
    <row r="49" spans="1:4" x14ac:dyDescent="0.35">
      <c r="A49" s="30" t="s">
        <v>15</v>
      </c>
      <c r="B49" s="45" t="s">
        <v>74</v>
      </c>
      <c r="C49" s="56">
        <f>C40/12</f>
        <v>157.07900000000001</v>
      </c>
    </row>
    <row r="50" spans="1:4" x14ac:dyDescent="0.35">
      <c r="A50" s="30" t="s">
        <v>16</v>
      </c>
      <c r="B50" s="45" t="s">
        <v>75</v>
      </c>
      <c r="C50" s="56">
        <f>(C40/12)/3</f>
        <v>52.359666666666669</v>
      </c>
    </row>
    <row r="51" spans="1:4" x14ac:dyDescent="0.35">
      <c r="A51" s="129" t="s">
        <v>1</v>
      </c>
      <c r="B51" s="129"/>
      <c r="C51" s="57">
        <f>SUM(C48:C50)</f>
        <v>366.51766666666668</v>
      </c>
    </row>
    <row r="54" spans="1:4" ht="32.25" customHeight="1" x14ac:dyDescent="0.35">
      <c r="A54" s="139" t="s">
        <v>28</v>
      </c>
      <c r="B54" s="139"/>
      <c r="C54" s="139"/>
      <c r="D54" s="139"/>
    </row>
    <row r="56" spans="1:4" x14ac:dyDescent="0.35">
      <c r="A56" s="101" t="s">
        <v>29</v>
      </c>
      <c r="B56" s="101" t="s">
        <v>30</v>
      </c>
      <c r="C56" s="101" t="s">
        <v>31</v>
      </c>
      <c r="D56" s="101" t="s">
        <v>13</v>
      </c>
    </row>
    <row r="57" spans="1:4" x14ac:dyDescent="0.35">
      <c r="A57" s="30" t="s">
        <v>14</v>
      </c>
      <c r="B57" s="45" t="s">
        <v>32</v>
      </c>
      <c r="C57" s="65">
        <v>0.2</v>
      </c>
      <c r="D57" s="56">
        <f>(C40+C51)*C57</f>
        <v>450.2931333333334</v>
      </c>
    </row>
    <row r="58" spans="1:4" x14ac:dyDescent="0.35">
      <c r="A58" s="30" t="s">
        <v>15</v>
      </c>
      <c r="B58" s="45" t="s">
        <v>33</v>
      </c>
      <c r="C58" s="65">
        <v>2.5000000000000001E-2</v>
      </c>
      <c r="D58" s="56">
        <f>(C40+C51)*C58</f>
        <v>56.286641666666675</v>
      </c>
    </row>
    <row r="59" spans="1:4" x14ac:dyDescent="0.35">
      <c r="A59" s="30" t="s">
        <v>16</v>
      </c>
      <c r="B59" s="45" t="s">
        <v>34</v>
      </c>
      <c r="C59" s="66">
        <v>0.03</v>
      </c>
      <c r="D59" s="56">
        <f>(C40+C51)*C59</f>
        <v>67.543970000000002</v>
      </c>
    </row>
    <row r="60" spans="1:4" x14ac:dyDescent="0.35">
      <c r="A60" s="30" t="s">
        <v>17</v>
      </c>
      <c r="B60" s="45" t="s">
        <v>35</v>
      </c>
      <c r="C60" s="65">
        <v>1.4999999999999999E-2</v>
      </c>
      <c r="D60" s="56">
        <f>(C40+C51)*C60</f>
        <v>33.771985000000001</v>
      </c>
    </row>
    <row r="61" spans="1:4" x14ac:dyDescent="0.35">
      <c r="A61" s="30" t="s">
        <v>18</v>
      </c>
      <c r="B61" s="45" t="s">
        <v>36</v>
      </c>
      <c r="C61" s="65">
        <v>0.01</v>
      </c>
      <c r="D61" s="56">
        <f>(C40+C51)*C61</f>
        <v>22.514656666666671</v>
      </c>
    </row>
    <row r="62" spans="1:4" x14ac:dyDescent="0.35">
      <c r="A62" s="30" t="s">
        <v>20</v>
      </c>
      <c r="B62" s="45" t="s">
        <v>3</v>
      </c>
      <c r="C62" s="65">
        <v>6.0000000000000001E-3</v>
      </c>
      <c r="D62" s="56">
        <f>(C40+C40)*C62</f>
        <v>22.619376000000003</v>
      </c>
    </row>
    <row r="63" spans="1:4" x14ac:dyDescent="0.35">
      <c r="A63" s="30" t="s">
        <v>21</v>
      </c>
      <c r="B63" s="45" t="s">
        <v>4</v>
      </c>
      <c r="C63" s="65">
        <v>2E-3</v>
      </c>
      <c r="D63" s="56">
        <f>(C40+C51)*C63</f>
        <v>4.5029313333333336</v>
      </c>
    </row>
    <row r="64" spans="1:4" x14ac:dyDescent="0.35">
      <c r="A64" s="140" t="s">
        <v>76</v>
      </c>
      <c r="B64" s="140"/>
      <c r="C64" s="67">
        <f>SUM(C57:C63)</f>
        <v>0.28800000000000003</v>
      </c>
      <c r="D64" s="68">
        <f>SUM(D57:D63)</f>
        <v>657.53269400000011</v>
      </c>
    </row>
    <row r="65" spans="1:5" x14ac:dyDescent="0.35">
      <c r="A65" s="30" t="s">
        <v>37</v>
      </c>
      <c r="B65" s="45" t="s">
        <v>5</v>
      </c>
      <c r="C65" s="65">
        <v>0.08</v>
      </c>
      <c r="D65" s="56">
        <f>(C40+C51)*C65</f>
        <v>180.11725333333337</v>
      </c>
    </row>
    <row r="66" spans="1:5" x14ac:dyDescent="0.35">
      <c r="A66" s="129" t="s">
        <v>38</v>
      </c>
      <c r="B66" s="129"/>
      <c r="C66" s="71">
        <f>SUM(C64:C65)</f>
        <v>0.36800000000000005</v>
      </c>
      <c r="D66" s="57">
        <f>SUM(D64:D65)</f>
        <v>837.64994733333344</v>
      </c>
    </row>
    <row r="69" spans="1:5" x14ac:dyDescent="0.35">
      <c r="A69" s="138" t="s">
        <v>39</v>
      </c>
      <c r="B69" s="138"/>
      <c r="C69" s="138"/>
    </row>
    <row r="71" spans="1:5" x14ac:dyDescent="0.35">
      <c r="A71" s="101" t="s">
        <v>40</v>
      </c>
      <c r="B71" s="101" t="s">
        <v>41</v>
      </c>
      <c r="C71" s="101" t="s">
        <v>13</v>
      </c>
    </row>
    <row r="72" spans="1:5" x14ac:dyDescent="0.35">
      <c r="A72" s="30" t="s">
        <v>14</v>
      </c>
      <c r="B72" s="45" t="s">
        <v>190</v>
      </c>
      <c r="C72" s="93">
        <v>0</v>
      </c>
      <c r="D72" s="38"/>
      <c r="E72" s="38"/>
    </row>
    <row r="73" spans="1:5" x14ac:dyDescent="0.35">
      <c r="A73" s="30" t="s">
        <v>15</v>
      </c>
      <c r="B73" s="45" t="s">
        <v>204</v>
      </c>
      <c r="C73" s="56">
        <f>(23.13*15)-(23.13*15*2%)</f>
        <v>340.01099999999997</v>
      </c>
      <c r="D73" s="35"/>
    </row>
    <row r="74" spans="1:5" x14ac:dyDescent="0.35">
      <c r="A74" s="30" t="s">
        <v>16</v>
      </c>
      <c r="B74" s="45" t="s">
        <v>162</v>
      </c>
      <c r="C74" s="56">
        <v>45</v>
      </c>
    </row>
    <row r="75" spans="1:5" x14ac:dyDescent="0.35">
      <c r="A75" s="30" t="s">
        <v>17</v>
      </c>
      <c r="B75" s="1" t="s">
        <v>77</v>
      </c>
      <c r="C75" s="56"/>
    </row>
    <row r="76" spans="1:5" x14ac:dyDescent="0.35">
      <c r="A76" s="129" t="s">
        <v>1</v>
      </c>
      <c r="B76" s="129"/>
      <c r="C76" s="57">
        <f>SUM(C72:C75)</f>
        <v>385.01099999999997</v>
      </c>
    </row>
    <row r="79" spans="1:5" x14ac:dyDescent="0.35">
      <c r="A79" s="138" t="s">
        <v>42</v>
      </c>
      <c r="B79" s="138"/>
      <c r="C79" s="138"/>
    </row>
    <row r="81" spans="1:4" x14ac:dyDescent="0.35">
      <c r="A81" s="101">
        <v>2</v>
      </c>
      <c r="B81" s="101" t="s">
        <v>43</v>
      </c>
      <c r="C81" s="101" t="s">
        <v>13</v>
      </c>
    </row>
    <row r="82" spans="1:4" x14ac:dyDescent="0.35">
      <c r="A82" s="30" t="s">
        <v>25</v>
      </c>
      <c r="B82" s="45" t="s">
        <v>26</v>
      </c>
      <c r="C82" s="47">
        <f>C51</f>
        <v>366.51766666666668</v>
      </c>
    </row>
    <row r="83" spans="1:4" x14ac:dyDescent="0.35">
      <c r="A83" s="30" t="s">
        <v>29</v>
      </c>
      <c r="B83" s="45" t="s">
        <v>30</v>
      </c>
      <c r="C83" s="47">
        <f>D66</f>
        <v>837.64994733333344</v>
      </c>
    </row>
    <row r="84" spans="1:4" x14ac:dyDescent="0.35">
      <c r="A84" s="30" t="s">
        <v>40</v>
      </c>
      <c r="B84" s="45" t="s">
        <v>41</v>
      </c>
      <c r="C84" s="47">
        <f>C76</f>
        <v>385.01099999999997</v>
      </c>
    </row>
    <row r="85" spans="1:4" x14ac:dyDescent="0.35">
      <c r="A85" s="129" t="s">
        <v>1</v>
      </c>
      <c r="B85" s="129"/>
      <c r="C85" s="50">
        <f>SUM(C82:C84)</f>
        <v>1589.1786140000002</v>
      </c>
    </row>
    <row r="86" spans="1:4" x14ac:dyDescent="0.35">
      <c r="A86" s="33"/>
    </row>
    <row r="87" spans="1:4" ht="13.3" thickBot="1" x14ac:dyDescent="0.4"/>
    <row r="88" spans="1:4" ht="16.3" thickBot="1" x14ac:dyDescent="0.4">
      <c r="A88" s="135" t="s">
        <v>44</v>
      </c>
      <c r="B88" s="136"/>
      <c r="C88" s="137"/>
    </row>
    <row r="90" spans="1:4" x14ac:dyDescent="0.35">
      <c r="A90" s="101">
        <v>3</v>
      </c>
      <c r="B90" s="101" t="s">
        <v>45</v>
      </c>
      <c r="C90" s="101" t="s">
        <v>13</v>
      </c>
    </row>
    <row r="91" spans="1:4" x14ac:dyDescent="0.35">
      <c r="A91" s="30" t="s">
        <v>14</v>
      </c>
      <c r="B91" s="60" t="s">
        <v>151</v>
      </c>
      <c r="C91" s="56">
        <f>(C40+C85-D64)/12</f>
        <v>234.71616000000003</v>
      </c>
      <c r="D91" s="34"/>
    </row>
    <row r="92" spans="1:4" x14ac:dyDescent="0.35">
      <c r="A92" s="30" t="s">
        <v>15</v>
      </c>
      <c r="B92" s="60" t="s">
        <v>46</v>
      </c>
      <c r="C92" s="61">
        <f>C91*8%</f>
        <v>18.777292800000001</v>
      </c>
    </row>
    <row r="93" spans="1:4" x14ac:dyDescent="0.35">
      <c r="A93" s="30" t="s">
        <v>16</v>
      </c>
      <c r="B93" s="60" t="s">
        <v>47</v>
      </c>
      <c r="C93" s="61">
        <f>(D65*50%)</f>
        <v>90.058626666666683</v>
      </c>
    </row>
    <row r="94" spans="1:4" x14ac:dyDescent="0.35">
      <c r="A94" s="141" t="s">
        <v>78</v>
      </c>
      <c r="B94" s="141"/>
      <c r="C94" s="57">
        <f>(C91+C93)*59.06%</f>
        <v>191.81198900533337</v>
      </c>
    </row>
    <row r="95" spans="1:4" ht="25.75" x14ac:dyDescent="0.35">
      <c r="A95" s="30" t="s">
        <v>17</v>
      </c>
      <c r="B95" s="62" t="s">
        <v>152</v>
      </c>
      <c r="C95" s="61">
        <f>(C40+C85)/12</f>
        <v>289.51055116666669</v>
      </c>
    </row>
    <row r="96" spans="1:4" x14ac:dyDescent="0.35">
      <c r="A96" s="30" t="s">
        <v>18</v>
      </c>
      <c r="B96" s="60" t="s">
        <v>48</v>
      </c>
      <c r="C96" s="56">
        <f>(C95*C66)</f>
        <v>106.53988282933335</v>
      </c>
    </row>
    <row r="97" spans="1:5" x14ac:dyDescent="0.35">
      <c r="A97" s="30" t="s">
        <v>20</v>
      </c>
      <c r="B97" s="60" t="s">
        <v>49</v>
      </c>
      <c r="C97" s="56">
        <f>C93</f>
        <v>90.058626666666683</v>
      </c>
    </row>
    <row r="98" spans="1:5" x14ac:dyDescent="0.35">
      <c r="A98" s="141" t="s">
        <v>79</v>
      </c>
      <c r="B98" s="141"/>
      <c r="C98" s="57">
        <f>(C95+C97)*6.56%</f>
        <v>24.899738065866664</v>
      </c>
    </row>
    <row r="99" spans="1:5" x14ac:dyDescent="0.35">
      <c r="A99" s="129" t="s">
        <v>80</v>
      </c>
      <c r="B99" s="129"/>
      <c r="C99" s="63">
        <f>C51*4.51%</f>
        <v>16.529946766666669</v>
      </c>
    </row>
    <row r="100" spans="1:5" x14ac:dyDescent="0.35">
      <c r="A100" s="134" t="s">
        <v>81</v>
      </c>
      <c r="B100" s="134"/>
      <c r="C100" s="64">
        <f>(C94+C98)-C99</f>
        <v>200.18178030453339</v>
      </c>
    </row>
    <row r="102" spans="1:5" ht="13.3" thickBot="1" x14ac:dyDescent="0.4"/>
    <row r="103" spans="1:5" ht="16.3" thickBot="1" x14ac:dyDescent="0.4">
      <c r="A103" s="135" t="s">
        <v>50</v>
      </c>
      <c r="B103" s="136"/>
      <c r="C103" s="137"/>
    </row>
    <row r="105" spans="1:5" x14ac:dyDescent="0.35">
      <c r="A105" s="138" t="s">
        <v>51</v>
      </c>
      <c r="B105" s="138"/>
      <c r="C105" s="138"/>
    </row>
    <row r="106" spans="1:5" x14ac:dyDescent="0.35">
      <c r="A106" s="32"/>
    </row>
    <row r="107" spans="1:5" x14ac:dyDescent="0.35">
      <c r="A107" s="101" t="s">
        <v>52</v>
      </c>
      <c r="B107" s="101" t="s">
        <v>53</v>
      </c>
      <c r="C107" s="101" t="s">
        <v>13</v>
      </c>
    </row>
    <row r="108" spans="1:5" x14ac:dyDescent="0.35">
      <c r="A108" s="30" t="s">
        <v>14</v>
      </c>
      <c r="B108" s="45" t="s">
        <v>2</v>
      </c>
      <c r="C108" s="59"/>
    </row>
    <row r="109" spans="1:5" x14ac:dyDescent="0.35">
      <c r="A109" s="30" t="s">
        <v>15</v>
      </c>
      <c r="B109" s="45" t="s">
        <v>130</v>
      </c>
      <c r="C109" s="72">
        <f>(C100+C85+C40)/30*21.3562/12</f>
        <v>217.97018036235136</v>
      </c>
      <c r="E109" s="35"/>
    </row>
    <row r="110" spans="1:5" x14ac:dyDescent="0.35">
      <c r="A110" s="30" t="s">
        <v>16</v>
      </c>
      <c r="B110" s="45" t="s">
        <v>54</v>
      </c>
      <c r="C110" s="47"/>
    </row>
    <row r="111" spans="1:5" x14ac:dyDescent="0.35">
      <c r="A111" s="30" t="s">
        <v>17</v>
      </c>
      <c r="B111" s="45" t="s">
        <v>55</v>
      </c>
      <c r="C111" s="47"/>
    </row>
    <row r="112" spans="1:5" x14ac:dyDescent="0.35">
      <c r="A112" s="30" t="s">
        <v>18</v>
      </c>
      <c r="B112" s="45" t="s">
        <v>56</v>
      </c>
      <c r="C112" s="47"/>
    </row>
    <row r="113" spans="1:5" x14ac:dyDescent="0.35">
      <c r="A113" s="30" t="s">
        <v>20</v>
      </c>
      <c r="B113" s="45" t="s">
        <v>22</v>
      </c>
      <c r="C113" s="30"/>
    </row>
    <row r="114" spans="1:5" x14ac:dyDescent="0.35">
      <c r="A114" s="129" t="s">
        <v>38</v>
      </c>
      <c r="B114" s="129"/>
      <c r="C114" s="50">
        <f>SUM(C108:C113)</f>
        <v>217.97018036235136</v>
      </c>
    </row>
    <row r="117" spans="1:5" x14ac:dyDescent="0.35">
      <c r="A117" s="138" t="s">
        <v>57</v>
      </c>
      <c r="B117" s="138"/>
      <c r="C117" s="138"/>
      <c r="D117" s="35"/>
      <c r="E117" s="35"/>
    </row>
    <row r="118" spans="1:5" x14ac:dyDescent="0.35">
      <c r="A118" s="32"/>
    </row>
    <row r="119" spans="1:5" x14ac:dyDescent="0.35">
      <c r="A119" s="101" t="s">
        <v>58</v>
      </c>
      <c r="B119" s="101" t="s">
        <v>59</v>
      </c>
      <c r="C119" s="101" t="s">
        <v>13</v>
      </c>
    </row>
    <row r="120" spans="1:5" x14ac:dyDescent="0.35">
      <c r="A120" s="30" t="s">
        <v>14</v>
      </c>
      <c r="B120" s="45" t="s">
        <v>166</v>
      </c>
      <c r="C120" s="56">
        <f>(C40+C85+C100)/220*15</f>
        <v>250.52102688440004</v>
      </c>
    </row>
    <row r="121" spans="1:5" x14ac:dyDescent="0.35">
      <c r="A121" s="129" t="s">
        <v>1</v>
      </c>
      <c r="B121" s="129"/>
      <c r="C121" s="57">
        <f>C120</f>
        <v>250.52102688440004</v>
      </c>
    </row>
    <row r="124" spans="1:5" x14ac:dyDescent="0.35">
      <c r="A124" s="138" t="s">
        <v>60</v>
      </c>
      <c r="B124" s="138"/>
      <c r="C124" s="138"/>
    </row>
    <row r="125" spans="1:5" x14ac:dyDescent="0.35">
      <c r="A125" s="32"/>
    </row>
    <row r="126" spans="1:5" x14ac:dyDescent="0.35">
      <c r="A126" s="101">
        <v>4</v>
      </c>
      <c r="B126" s="102" t="s">
        <v>61</v>
      </c>
      <c r="C126" s="101" t="s">
        <v>13</v>
      </c>
    </row>
    <row r="127" spans="1:5" x14ac:dyDescent="0.35">
      <c r="A127" s="30" t="s">
        <v>52</v>
      </c>
      <c r="B127" s="45" t="s">
        <v>53</v>
      </c>
      <c r="C127" s="47">
        <f>C114</f>
        <v>217.97018036235136</v>
      </c>
    </row>
    <row r="128" spans="1:5" x14ac:dyDescent="0.35">
      <c r="A128" s="30" t="s">
        <v>58</v>
      </c>
      <c r="B128" s="45" t="s">
        <v>165</v>
      </c>
      <c r="C128" s="47">
        <f>C120</f>
        <v>250.52102688440004</v>
      </c>
    </row>
    <row r="129" spans="1:4" x14ac:dyDescent="0.35">
      <c r="A129" s="129" t="s">
        <v>1</v>
      </c>
      <c r="B129" s="129"/>
      <c r="C129" s="50">
        <f>SUM(C127:C128)</f>
        <v>468.4912072467514</v>
      </c>
    </row>
    <row r="131" spans="1:4" ht="13.3" thickBot="1" x14ac:dyDescent="0.4"/>
    <row r="132" spans="1:4" ht="16.3" thickBot="1" x14ac:dyDescent="0.4">
      <c r="A132" s="135" t="s">
        <v>62</v>
      </c>
      <c r="B132" s="136"/>
      <c r="C132" s="137"/>
    </row>
    <row r="134" spans="1:4" x14ac:dyDescent="0.35">
      <c r="A134" s="101">
        <v>5</v>
      </c>
      <c r="B134" s="44" t="s">
        <v>6</v>
      </c>
      <c r="C134" s="101" t="s">
        <v>13</v>
      </c>
    </row>
    <row r="135" spans="1:4" x14ac:dyDescent="0.35">
      <c r="A135" s="30" t="s">
        <v>14</v>
      </c>
      <c r="B135" s="45" t="s">
        <v>63</v>
      </c>
      <c r="C135" s="56">
        <f>INSUMOS!E12</f>
        <v>106.48583333333336</v>
      </c>
    </row>
    <row r="136" spans="1:4" x14ac:dyDescent="0.35">
      <c r="A136" s="30" t="s">
        <v>15</v>
      </c>
      <c r="B136" s="45" t="s">
        <v>64</v>
      </c>
      <c r="C136" s="56">
        <f>INSUMOS!K26</f>
        <v>30.855</v>
      </c>
    </row>
    <row r="137" spans="1:4" x14ac:dyDescent="0.35">
      <c r="A137" s="30" t="s">
        <v>16</v>
      </c>
      <c r="B137" s="45" t="s">
        <v>142</v>
      </c>
      <c r="C137" s="56">
        <f>INSUMOS!E43</f>
        <v>68.890708333333336</v>
      </c>
    </row>
    <row r="138" spans="1:4" x14ac:dyDescent="0.35">
      <c r="A138" s="30" t="s">
        <v>17</v>
      </c>
      <c r="B138" s="45" t="s">
        <v>77</v>
      </c>
      <c r="C138" s="56"/>
    </row>
    <row r="139" spans="1:4" x14ac:dyDescent="0.35">
      <c r="A139" s="129" t="s">
        <v>38</v>
      </c>
      <c r="B139" s="129"/>
      <c r="C139" s="57">
        <f>SUM(C135:C138)</f>
        <v>206.23154166666671</v>
      </c>
    </row>
    <row r="141" spans="1:4" ht="13.3" thickBot="1" x14ac:dyDescent="0.4"/>
    <row r="142" spans="1:4" ht="16.3" thickBot="1" x14ac:dyDescent="0.4">
      <c r="A142" s="135" t="s">
        <v>65</v>
      </c>
      <c r="B142" s="136"/>
      <c r="C142" s="136"/>
      <c r="D142" s="137"/>
    </row>
    <row r="144" spans="1:4" x14ac:dyDescent="0.35">
      <c r="A144" s="101">
        <v>6</v>
      </c>
      <c r="B144" s="44" t="s">
        <v>7</v>
      </c>
      <c r="C144" s="101" t="s">
        <v>31</v>
      </c>
      <c r="D144" s="101" t="s">
        <v>13</v>
      </c>
    </row>
    <row r="145" spans="1:6" x14ac:dyDescent="0.35">
      <c r="A145" s="30" t="s">
        <v>14</v>
      </c>
      <c r="B145" s="45" t="s">
        <v>8</v>
      </c>
      <c r="C145" s="73">
        <v>0.06</v>
      </c>
      <c r="D145" s="47">
        <f>(C139+C129+C100+C85+C40)*C145</f>
        <v>260.94186859307706</v>
      </c>
    </row>
    <row r="146" spans="1:6" x14ac:dyDescent="0.35">
      <c r="A146" s="30" t="s">
        <v>15</v>
      </c>
      <c r="B146" s="45" t="s">
        <v>10</v>
      </c>
      <c r="C146" s="46">
        <v>6.7900000000000002E-2</v>
      </c>
      <c r="D146" s="47">
        <f>(C139+C129+C100+C85+C40)*C146</f>
        <v>295.29921462449892</v>
      </c>
    </row>
    <row r="147" spans="1:6" x14ac:dyDescent="0.35">
      <c r="A147" s="30" t="s">
        <v>16</v>
      </c>
      <c r="B147" s="45" t="s">
        <v>9</v>
      </c>
      <c r="C147" s="73"/>
      <c r="D147" s="47"/>
    </row>
    <row r="148" spans="1:6" x14ac:dyDescent="0.35">
      <c r="A148" s="30"/>
      <c r="B148" s="45" t="s">
        <v>72</v>
      </c>
      <c r="C148" s="46">
        <v>6.4999999999999997E-3</v>
      </c>
      <c r="D148" s="47">
        <f>(C139+C129+C100+C85+C40)*C148</f>
        <v>28.268702430916683</v>
      </c>
    </row>
    <row r="149" spans="1:6" x14ac:dyDescent="0.35">
      <c r="A149" s="30"/>
      <c r="B149" s="45" t="s">
        <v>73</v>
      </c>
      <c r="C149" s="46">
        <v>0.03</v>
      </c>
      <c r="D149" s="47">
        <f>(C139+C129+C100+C85+C40)*C149</f>
        <v>130.47093429653853</v>
      </c>
    </row>
    <row r="150" spans="1:6" x14ac:dyDescent="0.35">
      <c r="A150" s="30"/>
      <c r="B150" s="45" t="s">
        <v>66</v>
      </c>
      <c r="C150" s="73"/>
      <c r="D150" s="47"/>
    </row>
    <row r="151" spans="1:6" x14ac:dyDescent="0.35">
      <c r="A151" s="30"/>
      <c r="B151" s="45" t="s">
        <v>189</v>
      </c>
      <c r="C151" s="106">
        <v>0.04</v>
      </c>
      <c r="D151" s="47">
        <f>(C139+C129+C100+C85+C40)*C151</f>
        <v>173.96124572871807</v>
      </c>
    </row>
    <row r="152" spans="1:6" x14ac:dyDescent="0.35">
      <c r="A152" s="30"/>
      <c r="B152" s="45" t="s">
        <v>86</v>
      </c>
      <c r="C152" s="48">
        <f>SUM(C145:C151)</f>
        <v>0.20440000000000003</v>
      </c>
      <c r="D152" s="47">
        <f>(C139+C129+C100+C85+C40)*C152</f>
        <v>888.94196567374934</v>
      </c>
      <c r="E152" s="36"/>
      <c r="F152" s="37"/>
    </row>
    <row r="153" spans="1:6" x14ac:dyDescent="0.35">
      <c r="A153" s="129" t="s">
        <v>38</v>
      </c>
      <c r="B153" s="129"/>
      <c r="C153" s="46"/>
      <c r="D153" s="50">
        <f>D152</f>
        <v>888.94196567374934</v>
      </c>
    </row>
    <row r="155" spans="1:6" ht="13.3" thickBot="1" x14ac:dyDescent="0.4"/>
    <row r="156" spans="1:6" ht="16.3" thickBot="1" x14ac:dyDescent="0.4">
      <c r="A156" s="126" t="s">
        <v>67</v>
      </c>
      <c r="B156" s="127"/>
      <c r="C156" s="128"/>
    </row>
    <row r="158" spans="1:6" x14ac:dyDescent="0.35">
      <c r="A158" s="101"/>
      <c r="B158" s="101" t="s">
        <v>68</v>
      </c>
      <c r="C158" s="101" t="s">
        <v>13</v>
      </c>
    </row>
    <row r="159" spans="1:6" x14ac:dyDescent="0.35">
      <c r="A159" s="101" t="s">
        <v>14</v>
      </c>
      <c r="B159" s="45" t="s">
        <v>11</v>
      </c>
      <c r="C159" s="51">
        <f>C40</f>
        <v>1884.9480000000001</v>
      </c>
    </row>
    <row r="160" spans="1:6" x14ac:dyDescent="0.35">
      <c r="A160" s="101" t="s">
        <v>15</v>
      </c>
      <c r="B160" s="45" t="s">
        <v>23</v>
      </c>
      <c r="C160" s="51">
        <f>C85</f>
        <v>1589.1786140000002</v>
      </c>
    </row>
    <row r="161" spans="1:5" x14ac:dyDescent="0.35">
      <c r="A161" s="101" t="s">
        <v>16</v>
      </c>
      <c r="B161" s="45" t="s">
        <v>44</v>
      </c>
      <c r="C161" s="51">
        <f>C100</f>
        <v>200.18178030453339</v>
      </c>
    </row>
    <row r="162" spans="1:5" x14ac:dyDescent="0.35">
      <c r="A162" s="101" t="s">
        <v>17</v>
      </c>
      <c r="B162" s="52" t="s">
        <v>50</v>
      </c>
      <c r="C162" s="51">
        <f>C129</f>
        <v>468.4912072467514</v>
      </c>
    </row>
    <row r="163" spans="1:5" x14ac:dyDescent="0.35">
      <c r="A163" s="101" t="s">
        <v>18</v>
      </c>
      <c r="B163" s="45" t="s">
        <v>62</v>
      </c>
      <c r="C163" s="51">
        <f>C139</f>
        <v>206.23154166666671</v>
      </c>
    </row>
    <row r="164" spans="1:5" x14ac:dyDescent="0.35">
      <c r="A164" s="129" t="s">
        <v>69</v>
      </c>
      <c r="B164" s="129"/>
      <c r="C164" s="53">
        <f>SUM(C159:C163)</f>
        <v>4349.0311432179524</v>
      </c>
    </row>
    <row r="165" spans="1:5" x14ac:dyDescent="0.35">
      <c r="A165" s="101" t="s">
        <v>20</v>
      </c>
      <c r="B165" s="45" t="s">
        <v>70</v>
      </c>
      <c r="C165" s="51">
        <f>D153</f>
        <v>888.94196567374934</v>
      </c>
    </row>
    <row r="166" spans="1:5" x14ac:dyDescent="0.35">
      <c r="A166" s="129" t="s">
        <v>71</v>
      </c>
      <c r="B166" s="129"/>
      <c r="C166" s="54">
        <f>C164+C165</f>
        <v>5237.9731088917015</v>
      </c>
    </row>
    <row r="167" spans="1:5" ht="13.3" thickBot="1" x14ac:dyDescent="0.4">
      <c r="A167" s="130" t="s">
        <v>132</v>
      </c>
      <c r="B167" s="130"/>
      <c r="C167" s="55"/>
      <c r="D167" s="42"/>
      <c r="E167" s="37"/>
    </row>
    <row r="168" spans="1:5" ht="91.3" customHeight="1" thickBot="1" x14ac:dyDescent="0.4">
      <c r="A168" s="131" t="s">
        <v>133</v>
      </c>
      <c r="B168" s="132"/>
      <c r="C168" s="133"/>
    </row>
  </sheetData>
  <mergeCells count="41">
    <mergeCell ref="A45:C45"/>
    <mergeCell ref="A1:C1"/>
    <mergeCell ref="A2:C2"/>
    <mergeCell ref="A4:C4"/>
    <mergeCell ref="A5:C5"/>
    <mergeCell ref="A6:C6"/>
    <mergeCell ref="A10:C10"/>
    <mergeCell ref="A17:C17"/>
    <mergeCell ref="A24:C24"/>
    <mergeCell ref="A32:C32"/>
    <mergeCell ref="A40:B40"/>
    <mergeCell ref="A43:C43"/>
    <mergeCell ref="A99:B99"/>
    <mergeCell ref="A51:B51"/>
    <mergeCell ref="A54:D54"/>
    <mergeCell ref="A64:B64"/>
    <mergeCell ref="A66:B66"/>
    <mergeCell ref="A69:C69"/>
    <mergeCell ref="A76:B76"/>
    <mergeCell ref="A79:C79"/>
    <mergeCell ref="A85:B85"/>
    <mergeCell ref="A88:C88"/>
    <mergeCell ref="A94:B94"/>
    <mergeCell ref="A98:B98"/>
    <mergeCell ref="A153:B153"/>
    <mergeCell ref="A100:B100"/>
    <mergeCell ref="A103:C103"/>
    <mergeCell ref="A105:C105"/>
    <mergeCell ref="A114:B114"/>
    <mergeCell ref="A117:C117"/>
    <mergeCell ref="A121:B121"/>
    <mergeCell ref="A124:C124"/>
    <mergeCell ref="A129:B129"/>
    <mergeCell ref="A132:C132"/>
    <mergeCell ref="A139:B139"/>
    <mergeCell ref="A142:D142"/>
    <mergeCell ref="A156:C156"/>
    <mergeCell ref="A164:B164"/>
    <mergeCell ref="A166:B166"/>
    <mergeCell ref="A167:B167"/>
    <mergeCell ref="A168:C168"/>
  </mergeCells>
  <pageMargins left="0.511811024" right="0.511811024" top="0.78740157499999996" bottom="0.78740157499999996" header="0.31496062000000002" footer="0.31496062000000002"/>
  <pageSetup paperSize="9" scale="76" fitToHeight="0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BA0075-FDD8-4E6A-95AF-4293167EAD08}">
  <sheetPr>
    <pageSetUpPr fitToPage="1"/>
  </sheetPr>
  <dimension ref="A1:F168"/>
  <sheetViews>
    <sheetView showGridLines="0" topLeftCell="A46" zoomScale="115" zoomScaleNormal="115" workbookViewId="0">
      <selection activeCell="F75" sqref="F75"/>
    </sheetView>
  </sheetViews>
  <sheetFormatPr defaultColWidth="9.15234375" defaultRowHeight="12.9" x14ac:dyDescent="0.35"/>
  <cols>
    <col min="1" max="1" width="9.15234375" style="14"/>
    <col min="2" max="2" width="72.15234375" style="14" customWidth="1"/>
    <col min="3" max="3" width="23.921875" style="14" customWidth="1"/>
    <col min="4" max="4" width="15.3046875" style="14" bestFit="1" customWidth="1"/>
    <col min="5" max="5" width="14.69140625" style="14" customWidth="1"/>
    <col min="6" max="6" width="12" style="14" customWidth="1"/>
    <col min="7" max="7" width="15.15234375" style="14" customWidth="1"/>
    <col min="8" max="16384" width="9.15234375" style="14"/>
  </cols>
  <sheetData>
    <row r="1" spans="1:3" x14ac:dyDescent="0.35">
      <c r="A1" s="142" t="s">
        <v>107</v>
      </c>
      <c r="B1" s="142"/>
      <c r="C1" s="142"/>
    </row>
    <row r="2" spans="1:3" x14ac:dyDescent="0.35">
      <c r="A2" s="143" t="s">
        <v>200</v>
      </c>
      <c r="B2" s="143"/>
      <c r="C2" s="143"/>
    </row>
    <row r="3" spans="1:3" x14ac:dyDescent="0.35">
      <c r="A3" s="74"/>
      <c r="B3" s="74"/>
      <c r="C3" s="74"/>
    </row>
    <row r="4" spans="1:3" ht="12.9" customHeight="1" x14ac:dyDescent="0.35">
      <c r="A4" s="144" t="s">
        <v>201</v>
      </c>
      <c r="B4" s="144"/>
      <c r="C4" s="144"/>
    </row>
    <row r="5" spans="1:3" x14ac:dyDescent="0.35">
      <c r="A5" s="145" t="s">
        <v>154</v>
      </c>
      <c r="B5" s="145"/>
      <c r="C5" s="145"/>
    </row>
    <row r="6" spans="1:3" x14ac:dyDescent="0.35">
      <c r="A6" s="146" t="s">
        <v>157</v>
      </c>
      <c r="B6" s="146"/>
      <c r="C6" s="146"/>
    </row>
    <row r="10" spans="1:3" x14ac:dyDescent="0.35">
      <c r="A10" s="147" t="s">
        <v>108</v>
      </c>
      <c r="B10" s="147"/>
      <c r="C10" s="147"/>
    </row>
    <row r="11" spans="1:3" x14ac:dyDescent="0.35">
      <c r="A11" s="30" t="s">
        <v>14</v>
      </c>
      <c r="B11" s="29" t="s">
        <v>109</v>
      </c>
      <c r="C11" s="16" t="s">
        <v>110</v>
      </c>
    </row>
    <row r="12" spans="1:3" x14ac:dyDescent="0.35">
      <c r="A12" s="30" t="s">
        <v>15</v>
      </c>
      <c r="B12" s="29" t="s">
        <v>111</v>
      </c>
      <c r="C12" s="17" t="s">
        <v>196</v>
      </c>
    </row>
    <row r="13" spans="1:3" ht="15.65" customHeight="1" x14ac:dyDescent="0.35">
      <c r="A13" s="30" t="s">
        <v>16</v>
      </c>
      <c r="B13" s="29" t="s">
        <v>112</v>
      </c>
      <c r="C13" s="39" t="s">
        <v>156</v>
      </c>
    </row>
    <row r="14" spans="1:3" x14ac:dyDescent="0.35">
      <c r="A14" s="30" t="s">
        <v>17</v>
      </c>
      <c r="B14" s="29" t="s">
        <v>113</v>
      </c>
      <c r="C14" s="18">
        <v>12</v>
      </c>
    </row>
    <row r="17" spans="1:3" ht="15" customHeight="1" x14ac:dyDescent="0.35">
      <c r="A17" s="147" t="s">
        <v>128</v>
      </c>
      <c r="B17" s="147"/>
      <c r="C17" s="147"/>
    </row>
    <row r="18" spans="1:3" ht="30.9" customHeight="1" x14ac:dyDescent="0.35">
      <c r="A18" s="30">
        <v>1</v>
      </c>
      <c r="B18" s="70" t="s">
        <v>114</v>
      </c>
      <c r="C18" s="100" t="s">
        <v>158</v>
      </c>
    </row>
    <row r="19" spans="1:3" ht="15" customHeight="1" x14ac:dyDescent="0.35">
      <c r="A19" s="30">
        <v>2</v>
      </c>
      <c r="B19" s="27" t="s">
        <v>116</v>
      </c>
      <c r="C19" s="19" t="s">
        <v>117</v>
      </c>
    </row>
    <row r="20" spans="1:3" ht="15" customHeight="1" x14ac:dyDescent="0.35">
      <c r="A20" s="30">
        <v>3</v>
      </c>
      <c r="B20" s="27" t="s">
        <v>118</v>
      </c>
      <c r="C20" s="20">
        <v>1</v>
      </c>
    </row>
    <row r="21" spans="1:3" ht="15" customHeight="1" x14ac:dyDescent="0.35">
      <c r="A21" s="30">
        <v>4</v>
      </c>
      <c r="B21" s="27" t="s">
        <v>119</v>
      </c>
      <c r="C21" s="21" t="s">
        <v>120</v>
      </c>
    </row>
    <row r="23" spans="1:3" ht="15" customHeight="1" x14ac:dyDescent="0.35"/>
    <row r="24" spans="1:3" ht="15" customHeight="1" x14ac:dyDescent="0.35">
      <c r="A24" s="147" t="s">
        <v>121</v>
      </c>
      <c r="B24" s="147"/>
      <c r="C24" s="147"/>
    </row>
    <row r="25" spans="1:3" ht="15" customHeight="1" x14ac:dyDescent="0.35">
      <c r="A25" s="30">
        <v>1</v>
      </c>
      <c r="B25" s="22" t="s">
        <v>122</v>
      </c>
      <c r="C25" s="23" t="s">
        <v>123</v>
      </c>
    </row>
    <row r="26" spans="1:3" ht="15" customHeight="1" x14ac:dyDescent="0.35">
      <c r="A26" s="30">
        <v>2</v>
      </c>
      <c r="B26" s="22" t="s">
        <v>124</v>
      </c>
      <c r="C26" s="40" t="s">
        <v>125</v>
      </c>
    </row>
    <row r="27" spans="1:3" ht="15" customHeight="1" x14ac:dyDescent="0.35">
      <c r="A27" s="30">
        <v>3</v>
      </c>
      <c r="B27" s="25" t="s">
        <v>155</v>
      </c>
      <c r="C27" s="41">
        <v>1449.96</v>
      </c>
    </row>
    <row r="28" spans="1:3" ht="15" customHeight="1" x14ac:dyDescent="0.35">
      <c r="A28" s="30">
        <v>4</v>
      </c>
      <c r="B28" s="22" t="s">
        <v>126</v>
      </c>
      <c r="C28" s="21" t="s">
        <v>120</v>
      </c>
    </row>
    <row r="29" spans="1:3" ht="15" customHeight="1" x14ac:dyDescent="0.35">
      <c r="A29" s="30">
        <v>5</v>
      </c>
      <c r="B29" s="22" t="s">
        <v>127</v>
      </c>
      <c r="C29" s="26">
        <v>44562</v>
      </c>
    </row>
    <row r="31" spans="1:3" ht="13.3" thickBot="1" x14ac:dyDescent="0.4"/>
    <row r="32" spans="1:3" ht="16.3" thickBot="1" x14ac:dyDescent="0.4">
      <c r="A32" s="135" t="s">
        <v>11</v>
      </c>
      <c r="B32" s="136"/>
      <c r="C32" s="137"/>
    </row>
    <row r="34" spans="1:3" x14ac:dyDescent="0.35">
      <c r="A34" s="101">
        <v>1</v>
      </c>
      <c r="B34" s="101" t="s">
        <v>12</v>
      </c>
      <c r="C34" s="101" t="s">
        <v>13</v>
      </c>
    </row>
    <row r="35" spans="1:3" x14ac:dyDescent="0.35">
      <c r="A35" s="30" t="s">
        <v>14</v>
      </c>
      <c r="B35" s="45" t="s">
        <v>159</v>
      </c>
      <c r="C35" s="56">
        <f>C27</f>
        <v>1449.96</v>
      </c>
    </row>
    <row r="36" spans="1:3" x14ac:dyDescent="0.35">
      <c r="A36" s="30" t="s">
        <v>15</v>
      </c>
      <c r="B36" s="45" t="s">
        <v>203</v>
      </c>
      <c r="C36" s="56">
        <f>C35*30%</f>
        <v>434.988</v>
      </c>
    </row>
    <row r="37" spans="1:3" x14ac:dyDescent="0.35">
      <c r="A37" s="30" t="s">
        <v>17</v>
      </c>
      <c r="B37" s="45" t="s">
        <v>0</v>
      </c>
      <c r="C37" s="56"/>
    </row>
    <row r="38" spans="1:3" x14ac:dyDescent="0.35">
      <c r="A38" s="30" t="s">
        <v>18</v>
      </c>
      <c r="B38" s="45" t="s">
        <v>19</v>
      </c>
      <c r="C38" s="56"/>
    </row>
    <row r="39" spans="1:3" x14ac:dyDescent="0.35">
      <c r="A39" s="30" t="s">
        <v>20</v>
      </c>
      <c r="B39" s="45" t="s">
        <v>22</v>
      </c>
      <c r="C39" s="56"/>
    </row>
    <row r="40" spans="1:3" x14ac:dyDescent="0.35">
      <c r="A40" s="129" t="s">
        <v>1</v>
      </c>
      <c r="B40" s="129"/>
      <c r="C40" s="57">
        <f>SUM(C35:C39)</f>
        <v>1884.9480000000001</v>
      </c>
    </row>
    <row r="43" spans="1:3" x14ac:dyDescent="0.35">
      <c r="A43" s="148" t="s">
        <v>23</v>
      </c>
      <c r="B43" s="148"/>
      <c r="C43" s="148"/>
    </row>
    <row r="44" spans="1:3" x14ac:dyDescent="0.35">
      <c r="A44" s="32"/>
    </row>
    <row r="45" spans="1:3" x14ac:dyDescent="0.35">
      <c r="A45" s="138" t="s">
        <v>24</v>
      </c>
      <c r="B45" s="138"/>
      <c r="C45" s="138"/>
    </row>
    <row r="47" spans="1:3" x14ac:dyDescent="0.35">
      <c r="A47" s="101" t="s">
        <v>25</v>
      </c>
      <c r="B47" s="101" t="s">
        <v>26</v>
      </c>
      <c r="C47" s="101" t="s">
        <v>13</v>
      </c>
    </row>
    <row r="48" spans="1:3" x14ac:dyDescent="0.35">
      <c r="A48" s="30" t="s">
        <v>14</v>
      </c>
      <c r="B48" s="45" t="s">
        <v>27</v>
      </c>
      <c r="C48" s="56">
        <f>C40/12</f>
        <v>157.07900000000001</v>
      </c>
    </row>
    <row r="49" spans="1:4" x14ac:dyDescent="0.35">
      <c r="A49" s="30" t="s">
        <v>15</v>
      </c>
      <c r="B49" s="45" t="s">
        <v>74</v>
      </c>
      <c r="C49" s="56">
        <f>C40/12</f>
        <v>157.07900000000001</v>
      </c>
    </row>
    <row r="50" spans="1:4" x14ac:dyDescent="0.35">
      <c r="A50" s="30" t="s">
        <v>16</v>
      </c>
      <c r="B50" s="45" t="s">
        <v>75</v>
      </c>
      <c r="C50" s="56">
        <f>(C40/12)/3</f>
        <v>52.359666666666669</v>
      </c>
    </row>
    <row r="51" spans="1:4" x14ac:dyDescent="0.35">
      <c r="A51" s="129" t="s">
        <v>1</v>
      </c>
      <c r="B51" s="129"/>
      <c r="C51" s="57">
        <f>SUM(C48:C50)</f>
        <v>366.51766666666668</v>
      </c>
    </row>
    <row r="54" spans="1:4" ht="32.25" customHeight="1" x14ac:dyDescent="0.35">
      <c r="A54" s="139" t="s">
        <v>28</v>
      </c>
      <c r="B54" s="139"/>
      <c r="C54" s="139"/>
      <c r="D54" s="139"/>
    </row>
    <row r="56" spans="1:4" x14ac:dyDescent="0.35">
      <c r="A56" s="101" t="s">
        <v>29</v>
      </c>
      <c r="B56" s="101" t="s">
        <v>30</v>
      </c>
      <c r="C56" s="101" t="s">
        <v>31</v>
      </c>
      <c r="D56" s="101" t="s">
        <v>13</v>
      </c>
    </row>
    <row r="57" spans="1:4" x14ac:dyDescent="0.35">
      <c r="A57" s="30" t="s">
        <v>14</v>
      </c>
      <c r="B57" s="45" t="s">
        <v>32</v>
      </c>
      <c r="C57" s="65">
        <v>0.2</v>
      </c>
      <c r="D57" s="56">
        <f>(C40+C51)*C57</f>
        <v>450.2931333333334</v>
      </c>
    </row>
    <row r="58" spans="1:4" x14ac:dyDescent="0.35">
      <c r="A58" s="30" t="s">
        <v>15</v>
      </c>
      <c r="B58" s="45" t="s">
        <v>33</v>
      </c>
      <c r="C58" s="65">
        <v>2.5000000000000001E-2</v>
      </c>
      <c r="D58" s="56">
        <f>(C40+C51)*C58</f>
        <v>56.286641666666675</v>
      </c>
    </row>
    <row r="59" spans="1:4" x14ac:dyDescent="0.35">
      <c r="A59" s="30" t="s">
        <v>16</v>
      </c>
      <c r="B59" s="45" t="s">
        <v>34</v>
      </c>
      <c r="C59" s="66">
        <v>0.03</v>
      </c>
      <c r="D59" s="56">
        <f>(C40+C51)*C59</f>
        <v>67.543970000000002</v>
      </c>
    </row>
    <row r="60" spans="1:4" x14ac:dyDescent="0.35">
      <c r="A60" s="30" t="s">
        <v>17</v>
      </c>
      <c r="B60" s="45" t="s">
        <v>35</v>
      </c>
      <c r="C60" s="65">
        <v>1.4999999999999999E-2</v>
      </c>
      <c r="D60" s="56">
        <f>(C40+C51)*C60</f>
        <v>33.771985000000001</v>
      </c>
    </row>
    <row r="61" spans="1:4" x14ac:dyDescent="0.35">
      <c r="A61" s="30" t="s">
        <v>18</v>
      </c>
      <c r="B61" s="45" t="s">
        <v>36</v>
      </c>
      <c r="C61" s="65">
        <v>0.01</v>
      </c>
      <c r="D61" s="56">
        <f>(C40+C51)*C61</f>
        <v>22.514656666666671</v>
      </c>
    </row>
    <row r="62" spans="1:4" x14ac:dyDescent="0.35">
      <c r="A62" s="30" t="s">
        <v>20</v>
      </c>
      <c r="B62" s="45" t="s">
        <v>3</v>
      </c>
      <c r="C62" s="65">
        <v>6.0000000000000001E-3</v>
      </c>
      <c r="D62" s="56">
        <f>(C40+C40)*C62</f>
        <v>22.619376000000003</v>
      </c>
    </row>
    <row r="63" spans="1:4" x14ac:dyDescent="0.35">
      <c r="A63" s="30" t="s">
        <v>21</v>
      </c>
      <c r="B63" s="45" t="s">
        <v>4</v>
      </c>
      <c r="C63" s="65">
        <v>2E-3</v>
      </c>
      <c r="D63" s="56">
        <f>(C40+C51)*C63</f>
        <v>4.5029313333333336</v>
      </c>
    </row>
    <row r="64" spans="1:4" x14ac:dyDescent="0.35">
      <c r="A64" s="140" t="s">
        <v>76</v>
      </c>
      <c r="B64" s="140"/>
      <c r="C64" s="67">
        <f>SUM(C57:C63)</f>
        <v>0.28800000000000003</v>
      </c>
      <c r="D64" s="68">
        <f>SUM(D57:D63)</f>
        <v>657.53269400000011</v>
      </c>
    </row>
    <row r="65" spans="1:5" x14ac:dyDescent="0.35">
      <c r="A65" s="30" t="s">
        <v>37</v>
      </c>
      <c r="B65" s="45" t="s">
        <v>5</v>
      </c>
      <c r="C65" s="65">
        <v>0.08</v>
      </c>
      <c r="D65" s="56">
        <f>(C40+C51)*C65</f>
        <v>180.11725333333337</v>
      </c>
    </row>
    <row r="66" spans="1:5" x14ac:dyDescent="0.35">
      <c r="A66" s="129" t="s">
        <v>38</v>
      </c>
      <c r="B66" s="129"/>
      <c r="C66" s="71">
        <f>SUM(C64:C65)</f>
        <v>0.36800000000000005</v>
      </c>
      <c r="D66" s="57">
        <f>SUM(D64:D65)</f>
        <v>837.64994733333344</v>
      </c>
    </row>
    <row r="69" spans="1:5" x14ac:dyDescent="0.35">
      <c r="A69" s="138" t="s">
        <v>39</v>
      </c>
      <c r="B69" s="138"/>
      <c r="C69" s="138"/>
    </row>
    <row r="71" spans="1:5" x14ac:dyDescent="0.35">
      <c r="A71" s="101" t="s">
        <v>40</v>
      </c>
      <c r="B71" s="101" t="s">
        <v>41</v>
      </c>
      <c r="C71" s="101" t="s">
        <v>13</v>
      </c>
    </row>
    <row r="72" spans="1:5" x14ac:dyDescent="0.35">
      <c r="A72" s="30" t="s">
        <v>14</v>
      </c>
      <c r="B72" s="45" t="s">
        <v>187</v>
      </c>
      <c r="C72" s="93">
        <f>(6*2*15)-(C35/100)*6</f>
        <v>93.002399999999994</v>
      </c>
      <c r="D72" s="38"/>
      <c r="E72" s="38"/>
    </row>
    <row r="73" spans="1:5" x14ac:dyDescent="0.35">
      <c r="A73" s="30" t="s">
        <v>15</v>
      </c>
      <c r="B73" s="45" t="s">
        <v>204</v>
      </c>
      <c r="C73" s="56">
        <f>(23.13*15)-(23.13*15*2%)</f>
        <v>340.01099999999997</v>
      </c>
      <c r="D73" s="35"/>
    </row>
    <row r="74" spans="1:5" x14ac:dyDescent="0.35">
      <c r="A74" s="30" t="s">
        <v>16</v>
      </c>
      <c r="B74" s="45" t="s">
        <v>162</v>
      </c>
      <c r="C74" s="56">
        <v>45</v>
      </c>
    </row>
    <row r="75" spans="1:5" x14ac:dyDescent="0.35">
      <c r="A75" s="30" t="s">
        <v>17</v>
      </c>
      <c r="B75" s="1" t="s">
        <v>77</v>
      </c>
      <c r="C75" s="56"/>
    </row>
    <row r="76" spans="1:5" x14ac:dyDescent="0.35">
      <c r="A76" s="129" t="s">
        <v>1</v>
      </c>
      <c r="B76" s="129"/>
      <c r="C76" s="57">
        <f>SUM(C72:C75)</f>
        <v>478.01339999999993</v>
      </c>
    </row>
    <row r="79" spans="1:5" x14ac:dyDescent="0.35">
      <c r="A79" s="138" t="s">
        <v>42</v>
      </c>
      <c r="B79" s="138"/>
      <c r="C79" s="138"/>
    </row>
    <row r="81" spans="1:4" x14ac:dyDescent="0.35">
      <c r="A81" s="101">
        <v>2</v>
      </c>
      <c r="B81" s="101" t="s">
        <v>43</v>
      </c>
      <c r="C81" s="101" t="s">
        <v>13</v>
      </c>
    </row>
    <row r="82" spans="1:4" x14ac:dyDescent="0.35">
      <c r="A82" s="30" t="s">
        <v>25</v>
      </c>
      <c r="B82" s="45" t="s">
        <v>26</v>
      </c>
      <c r="C82" s="47">
        <f>C51</f>
        <v>366.51766666666668</v>
      </c>
    </row>
    <row r="83" spans="1:4" x14ac:dyDescent="0.35">
      <c r="A83" s="30" t="s">
        <v>29</v>
      </c>
      <c r="B83" s="45" t="s">
        <v>30</v>
      </c>
      <c r="C83" s="47">
        <f>D66</f>
        <v>837.64994733333344</v>
      </c>
    </row>
    <row r="84" spans="1:4" x14ac:dyDescent="0.35">
      <c r="A84" s="30" t="s">
        <v>40</v>
      </c>
      <c r="B84" s="45" t="s">
        <v>41</v>
      </c>
      <c r="C84" s="47">
        <f>C76</f>
        <v>478.01339999999993</v>
      </c>
    </row>
    <row r="85" spans="1:4" x14ac:dyDescent="0.35">
      <c r="A85" s="129" t="s">
        <v>1</v>
      </c>
      <c r="B85" s="129"/>
      <c r="C85" s="50">
        <f>SUM(C82:C84)</f>
        <v>1682.1810140000002</v>
      </c>
    </row>
    <row r="86" spans="1:4" x14ac:dyDescent="0.35">
      <c r="A86" s="33"/>
    </row>
    <row r="87" spans="1:4" ht="13.3" thickBot="1" x14ac:dyDescent="0.4"/>
    <row r="88" spans="1:4" ht="16.3" thickBot="1" x14ac:dyDescent="0.4">
      <c r="A88" s="135" t="s">
        <v>44</v>
      </c>
      <c r="B88" s="136"/>
      <c r="C88" s="137"/>
    </row>
    <row r="90" spans="1:4" x14ac:dyDescent="0.35">
      <c r="A90" s="101">
        <v>3</v>
      </c>
      <c r="B90" s="101" t="s">
        <v>45</v>
      </c>
      <c r="C90" s="101" t="s">
        <v>13</v>
      </c>
    </row>
    <row r="91" spans="1:4" x14ac:dyDescent="0.35">
      <c r="A91" s="30" t="s">
        <v>14</v>
      </c>
      <c r="B91" s="60" t="s">
        <v>151</v>
      </c>
      <c r="C91" s="56">
        <f>(C40+C85-D64)/12</f>
        <v>242.46636000000001</v>
      </c>
      <c r="D91" s="34"/>
    </row>
    <row r="92" spans="1:4" x14ac:dyDescent="0.35">
      <c r="A92" s="30" t="s">
        <v>15</v>
      </c>
      <c r="B92" s="60" t="s">
        <v>46</v>
      </c>
      <c r="C92" s="61">
        <f>C91*8%</f>
        <v>19.397308800000001</v>
      </c>
    </row>
    <row r="93" spans="1:4" x14ac:dyDescent="0.35">
      <c r="A93" s="30" t="s">
        <v>16</v>
      </c>
      <c r="B93" s="60" t="s">
        <v>47</v>
      </c>
      <c r="C93" s="61">
        <f>(D65*50%)</f>
        <v>90.058626666666683</v>
      </c>
    </row>
    <row r="94" spans="1:4" x14ac:dyDescent="0.35">
      <c r="A94" s="141" t="s">
        <v>78</v>
      </c>
      <c r="B94" s="141"/>
      <c r="C94" s="57">
        <f>(C91+C93)*59.06%</f>
        <v>196.38925712533336</v>
      </c>
    </row>
    <row r="95" spans="1:4" ht="25.75" x14ac:dyDescent="0.35">
      <c r="A95" s="30" t="s">
        <v>17</v>
      </c>
      <c r="B95" s="62" t="s">
        <v>152</v>
      </c>
      <c r="C95" s="61">
        <f>(C40+C85)/12</f>
        <v>297.26075116666669</v>
      </c>
    </row>
    <row r="96" spans="1:4" x14ac:dyDescent="0.35">
      <c r="A96" s="30" t="s">
        <v>18</v>
      </c>
      <c r="B96" s="60" t="s">
        <v>48</v>
      </c>
      <c r="C96" s="56">
        <f>(C95*C66)</f>
        <v>109.39195642933336</v>
      </c>
    </row>
    <row r="97" spans="1:5" x14ac:dyDescent="0.35">
      <c r="A97" s="30" t="s">
        <v>20</v>
      </c>
      <c r="B97" s="60" t="s">
        <v>49</v>
      </c>
      <c r="C97" s="56">
        <f>C93</f>
        <v>90.058626666666683</v>
      </c>
    </row>
    <row r="98" spans="1:5" x14ac:dyDescent="0.35">
      <c r="A98" s="141" t="s">
        <v>79</v>
      </c>
      <c r="B98" s="141"/>
      <c r="C98" s="57">
        <f>(C95+C97)*6.56%</f>
        <v>25.408151185866664</v>
      </c>
    </row>
    <row r="99" spans="1:5" x14ac:dyDescent="0.35">
      <c r="A99" s="129" t="s">
        <v>80</v>
      </c>
      <c r="B99" s="129"/>
      <c r="C99" s="63">
        <f>C51*4.51%</f>
        <v>16.529946766666669</v>
      </c>
    </row>
    <row r="100" spans="1:5" x14ac:dyDescent="0.35">
      <c r="A100" s="134" t="s">
        <v>81</v>
      </c>
      <c r="B100" s="134"/>
      <c r="C100" s="64">
        <f>(C94+C98)-C99</f>
        <v>205.26746154453338</v>
      </c>
    </row>
    <row r="102" spans="1:5" ht="13.3" thickBot="1" x14ac:dyDescent="0.4"/>
    <row r="103" spans="1:5" ht="16.3" thickBot="1" x14ac:dyDescent="0.4">
      <c r="A103" s="135" t="s">
        <v>50</v>
      </c>
      <c r="B103" s="136"/>
      <c r="C103" s="137"/>
    </row>
    <row r="105" spans="1:5" x14ac:dyDescent="0.35">
      <c r="A105" s="138" t="s">
        <v>51</v>
      </c>
      <c r="B105" s="138"/>
      <c r="C105" s="138"/>
    </row>
    <row r="106" spans="1:5" x14ac:dyDescent="0.35">
      <c r="A106" s="32"/>
    </row>
    <row r="107" spans="1:5" x14ac:dyDescent="0.35">
      <c r="A107" s="101" t="s">
        <v>52</v>
      </c>
      <c r="B107" s="101" t="s">
        <v>53</v>
      </c>
      <c r="C107" s="101" t="s">
        <v>13</v>
      </c>
    </row>
    <row r="108" spans="1:5" x14ac:dyDescent="0.35">
      <c r="A108" s="30" t="s">
        <v>14</v>
      </c>
      <c r="B108" s="45" t="s">
        <v>2</v>
      </c>
      <c r="C108" s="59"/>
    </row>
    <row r="109" spans="1:5" x14ac:dyDescent="0.35">
      <c r="A109" s="30" t="s">
        <v>15</v>
      </c>
      <c r="B109" s="45" t="s">
        <v>130</v>
      </c>
      <c r="C109" s="72">
        <f>(C100+C85+C40)/30*21.3562/12</f>
        <v>223.78903780840051</v>
      </c>
      <c r="E109" s="35"/>
    </row>
    <row r="110" spans="1:5" x14ac:dyDescent="0.35">
      <c r="A110" s="30" t="s">
        <v>16</v>
      </c>
      <c r="B110" s="45" t="s">
        <v>54</v>
      </c>
      <c r="C110" s="47"/>
    </row>
    <row r="111" spans="1:5" x14ac:dyDescent="0.35">
      <c r="A111" s="30" t="s">
        <v>17</v>
      </c>
      <c r="B111" s="45" t="s">
        <v>55</v>
      </c>
      <c r="C111" s="47"/>
    </row>
    <row r="112" spans="1:5" x14ac:dyDescent="0.35">
      <c r="A112" s="30" t="s">
        <v>18</v>
      </c>
      <c r="B112" s="45" t="s">
        <v>56</v>
      </c>
      <c r="C112" s="47"/>
    </row>
    <row r="113" spans="1:5" x14ac:dyDescent="0.35">
      <c r="A113" s="30" t="s">
        <v>20</v>
      </c>
      <c r="B113" s="45" t="s">
        <v>22</v>
      </c>
      <c r="C113" s="30"/>
    </row>
    <row r="114" spans="1:5" x14ac:dyDescent="0.35">
      <c r="A114" s="129" t="s">
        <v>38</v>
      </c>
      <c r="B114" s="129"/>
      <c r="C114" s="50">
        <f>SUM(C108:C113)</f>
        <v>223.78903780840051</v>
      </c>
    </row>
    <row r="117" spans="1:5" x14ac:dyDescent="0.35">
      <c r="A117" s="138" t="s">
        <v>57</v>
      </c>
      <c r="B117" s="138"/>
      <c r="C117" s="138"/>
      <c r="D117" s="35"/>
      <c r="E117" s="35"/>
    </row>
    <row r="118" spans="1:5" x14ac:dyDescent="0.35">
      <c r="A118" s="32"/>
    </row>
    <row r="119" spans="1:5" x14ac:dyDescent="0.35">
      <c r="A119" s="101" t="s">
        <v>58</v>
      </c>
      <c r="B119" s="101" t="s">
        <v>59</v>
      </c>
      <c r="C119" s="101" t="s">
        <v>13</v>
      </c>
    </row>
    <row r="120" spans="1:5" x14ac:dyDescent="0.35">
      <c r="A120" s="30" t="s">
        <v>14</v>
      </c>
      <c r="B120" s="45" t="s">
        <v>166</v>
      </c>
      <c r="C120" s="56">
        <f>(C40+C85+C100)/220*15</f>
        <v>257.20885060530907</v>
      </c>
    </row>
    <row r="121" spans="1:5" x14ac:dyDescent="0.35">
      <c r="A121" s="129" t="s">
        <v>1</v>
      </c>
      <c r="B121" s="129"/>
      <c r="C121" s="57">
        <f>C120</f>
        <v>257.20885060530907</v>
      </c>
    </row>
    <row r="124" spans="1:5" x14ac:dyDescent="0.35">
      <c r="A124" s="138" t="s">
        <v>60</v>
      </c>
      <c r="B124" s="138"/>
      <c r="C124" s="138"/>
    </row>
    <row r="125" spans="1:5" x14ac:dyDescent="0.35">
      <c r="A125" s="32"/>
    </row>
    <row r="126" spans="1:5" x14ac:dyDescent="0.35">
      <c r="A126" s="101">
        <v>4</v>
      </c>
      <c r="B126" s="102" t="s">
        <v>61</v>
      </c>
      <c r="C126" s="101" t="s">
        <v>13</v>
      </c>
    </row>
    <row r="127" spans="1:5" x14ac:dyDescent="0.35">
      <c r="A127" s="30" t="s">
        <v>52</v>
      </c>
      <c r="B127" s="45" t="s">
        <v>53</v>
      </c>
      <c r="C127" s="47">
        <f>C114</f>
        <v>223.78903780840051</v>
      </c>
    </row>
    <row r="128" spans="1:5" x14ac:dyDescent="0.35">
      <c r="A128" s="30" t="s">
        <v>58</v>
      </c>
      <c r="B128" s="45" t="s">
        <v>165</v>
      </c>
      <c r="C128" s="47">
        <f>C120</f>
        <v>257.20885060530907</v>
      </c>
    </row>
    <row r="129" spans="1:4" x14ac:dyDescent="0.35">
      <c r="A129" s="129" t="s">
        <v>1</v>
      </c>
      <c r="B129" s="129"/>
      <c r="C129" s="50">
        <f>SUM(C127:C128)</f>
        <v>480.99788841370957</v>
      </c>
    </row>
    <row r="131" spans="1:4" ht="13.3" thickBot="1" x14ac:dyDescent="0.4"/>
    <row r="132" spans="1:4" ht="16.3" thickBot="1" x14ac:dyDescent="0.4">
      <c r="A132" s="135" t="s">
        <v>62</v>
      </c>
      <c r="B132" s="136"/>
      <c r="C132" s="137"/>
    </row>
    <row r="134" spans="1:4" x14ac:dyDescent="0.35">
      <c r="A134" s="101">
        <v>5</v>
      </c>
      <c r="B134" s="44" t="s">
        <v>6</v>
      </c>
      <c r="C134" s="101" t="s">
        <v>13</v>
      </c>
    </row>
    <row r="135" spans="1:4" x14ac:dyDescent="0.35">
      <c r="A135" s="30" t="s">
        <v>14</v>
      </c>
      <c r="B135" s="45" t="s">
        <v>63</v>
      </c>
      <c r="C135" s="56">
        <f>INSUMOS!E12</f>
        <v>106.48583333333336</v>
      </c>
    </row>
    <row r="136" spans="1:4" x14ac:dyDescent="0.35">
      <c r="A136" s="30" t="s">
        <v>15</v>
      </c>
      <c r="B136" s="45" t="s">
        <v>64</v>
      </c>
      <c r="C136" s="56">
        <f>INSUMOS!K26</f>
        <v>30.855</v>
      </c>
    </row>
    <row r="137" spans="1:4" x14ac:dyDescent="0.35">
      <c r="A137" s="30" t="s">
        <v>16</v>
      </c>
      <c r="B137" s="45" t="s">
        <v>142</v>
      </c>
      <c r="C137" s="56">
        <f>INSUMOS!E43</f>
        <v>68.890708333333336</v>
      </c>
    </row>
    <row r="138" spans="1:4" x14ac:dyDescent="0.35">
      <c r="A138" s="30" t="s">
        <v>17</v>
      </c>
      <c r="B138" s="45" t="s">
        <v>77</v>
      </c>
      <c r="C138" s="56"/>
    </row>
    <row r="139" spans="1:4" x14ac:dyDescent="0.35">
      <c r="A139" s="129" t="s">
        <v>38</v>
      </c>
      <c r="B139" s="129"/>
      <c r="C139" s="57">
        <f>SUM(C135:C138)</f>
        <v>206.23154166666671</v>
      </c>
    </row>
    <row r="141" spans="1:4" ht="13.3" thickBot="1" x14ac:dyDescent="0.4"/>
    <row r="142" spans="1:4" ht="16.3" thickBot="1" x14ac:dyDescent="0.4">
      <c r="A142" s="135" t="s">
        <v>65</v>
      </c>
      <c r="B142" s="136"/>
      <c r="C142" s="136"/>
      <c r="D142" s="137"/>
    </row>
    <row r="144" spans="1:4" x14ac:dyDescent="0.35">
      <c r="A144" s="101">
        <v>6</v>
      </c>
      <c r="B144" s="44" t="s">
        <v>7</v>
      </c>
      <c r="C144" s="101" t="s">
        <v>31</v>
      </c>
      <c r="D144" s="101" t="s">
        <v>13</v>
      </c>
    </row>
    <row r="145" spans="1:6" x14ac:dyDescent="0.35">
      <c r="A145" s="30" t="s">
        <v>14</v>
      </c>
      <c r="B145" s="45" t="s">
        <v>8</v>
      </c>
      <c r="C145" s="73">
        <v>0.06</v>
      </c>
      <c r="D145" s="47">
        <f>(C139+C129+C100+C85+C40)*C145</f>
        <v>267.57755433749458</v>
      </c>
    </row>
    <row r="146" spans="1:6" x14ac:dyDescent="0.35">
      <c r="A146" s="30" t="s">
        <v>15</v>
      </c>
      <c r="B146" s="45" t="s">
        <v>10</v>
      </c>
      <c r="C146" s="46">
        <v>6.7900000000000002E-2</v>
      </c>
      <c r="D146" s="47">
        <f>(C139+C129+C100+C85+C40)*C146</f>
        <v>302.80859899193138</v>
      </c>
    </row>
    <row r="147" spans="1:6" x14ac:dyDescent="0.35">
      <c r="A147" s="30" t="s">
        <v>16</v>
      </c>
      <c r="B147" s="45" t="s">
        <v>9</v>
      </c>
      <c r="C147" s="73"/>
      <c r="D147" s="47"/>
    </row>
    <row r="148" spans="1:6" x14ac:dyDescent="0.35">
      <c r="A148" s="30"/>
      <c r="B148" s="45" t="s">
        <v>72</v>
      </c>
      <c r="C148" s="46">
        <v>6.4999999999999997E-3</v>
      </c>
      <c r="D148" s="47">
        <f>(C139+C129+C100+C85+C40)*C148</f>
        <v>28.987568386561914</v>
      </c>
    </row>
    <row r="149" spans="1:6" x14ac:dyDescent="0.35">
      <c r="A149" s="30"/>
      <c r="B149" s="45" t="s">
        <v>73</v>
      </c>
      <c r="C149" s="46">
        <v>0.03</v>
      </c>
      <c r="D149" s="47">
        <f>(C139+C129+C100+C85+C40)*C149</f>
        <v>133.78877716874729</v>
      </c>
    </row>
    <row r="150" spans="1:6" x14ac:dyDescent="0.35">
      <c r="A150" s="30"/>
      <c r="B150" s="45" t="s">
        <v>66</v>
      </c>
      <c r="C150" s="73"/>
      <c r="D150" s="47"/>
    </row>
    <row r="151" spans="1:6" x14ac:dyDescent="0.35">
      <c r="A151" s="30"/>
      <c r="B151" s="45" t="s">
        <v>188</v>
      </c>
      <c r="C151" s="106">
        <v>0.03</v>
      </c>
      <c r="D151" s="47">
        <f>(C139+C129+C100+C85+C40)*C151</f>
        <v>133.78877716874729</v>
      </c>
    </row>
    <row r="152" spans="1:6" x14ac:dyDescent="0.35">
      <c r="A152" s="30"/>
      <c r="B152" s="45" t="s">
        <v>86</v>
      </c>
      <c r="C152" s="48">
        <f>SUM(C145:C151)</f>
        <v>0.19440000000000002</v>
      </c>
      <c r="D152" s="47">
        <f>(C139+C129+C100+C85+C40)*C152</f>
        <v>866.95127605348262</v>
      </c>
      <c r="E152" s="36"/>
      <c r="F152" s="37"/>
    </row>
    <row r="153" spans="1:6" x14ac:dyDescent="0.35">
      <c r="A153" s="129" t="s">
        <v>38</v>
      </c>
      <c r="B153" s="129"/>
      <c r="C153" s="46"/>
      <c r="D153" s="50">
        <f>D152</f>
        <v>866.95127605348262</v>
      </c>
    </row>
    <row r="155" spans="1:6" ht="13.3" thickBot="1" x14ac:dyDescent="0.4"/>
    <row r="156" spans="1:6" ht="16.3" thickBot="1" x14ac:dyDescent="0.4">
      <c r="A156" s="126" t="s">
        <v>67</v>
      </c>
      <c r="B156" s="127"/>
      <c r="C156" s="128"/>
    </row>
    <row r="158" spans="1:6" x14ac:dyDescent="0.35">
      <c r="A158" s="101"/>
      <c r="B158" s="101" t="s">
        <v>68</v>
      </c>
      <c r="C158" s="101" t="s">
        <v>13</v>
      </c>
    </row>
    <row r="159" spans="1:6" x14ac:dyDescent="0.35">
      <c r="A159" s="101" t="s">
        <v>14</v>
      </c>
      <c r="B159" s="45" t="s">
        <v>11</v>
      </c>
      <c r="C159" s="51">
        <f>C40</f>
        <v>1884.9480000000001</v>
      </c>
    </row>
    <row r="160" spans="1:6" x14ac:dyDescent="0.35">
      <c r="A160" s="101" t="s">
        <v>15</v>
      </c>
      <c r="B160" s="45" t="s">
        <v>23</v>
      </c>
      <c r="C160" s="51">
        <f>C85</f>
        <v>1682.1810140000002</v>
      </c>
    </row>
    <row r="161" spans="1:5" x14ac:dyDescent="0.35">
      <c r="A161" s="101" t="s">
        <v>16</v>
      </c>
      <c r="B161" s="45" t="s">
        <v>44</v>
      </c>
      <c r="C161" s="51">
        <f>C100</f>
        <v>205.26746154453338</v>
      </c>
    </row>
    <row r="162" spans="1:5" x14ac:dyDescent="0.35">
      <c r="A162" s="101" t="s">
        <v>17</v>
      </c>
      <c r="B162" s="52" t="s">
        <v>50</v>
      </c>
      <c r="C162" s="51">
        <f>C129</f>
        <v>480.99788841370957</v>
      </c>
    </row>
    <row r="163" spans="1:5" x14ac:dyDescent="0.35">
      <c r="A163" s="101" t="s">
        <v>18</v>
      </c>
      <c r="B163" s="45" t="s">
        <v>62</v>
      </c>
      <c r="C163" s="51">
        <f>C139</f>
        <v>206.23154166666671</v>
      </c>
    </row>
    <row r="164" spans="1:5" x14ac:dyDescent="0.35">
      <c r="A164" s="129" t="s">
        <v>69</v>
      </c>
      <c r="B164" s="129"/>
      <c r="C164" s="53">
        <f>SUM(C159:C163)</f>
        <v>4459.62590562491</v>
      </c>
    </row>
    <row r="165" spans="1:5" x14ac:dyDescent="0.35">
      <c r="A165" s="101" t="s">
        <v>20</v>
      </c>
      <c r="B165" s="45" t="s">
        <v>70</v>
      </c>
      <c r="C165" s="51">
        <f>D153</f>
        <v>866.95127605348262</v>
      </c>
    </row>
    <row r="166" spans="1:5" x14ac:dyDescent="0.35">
      <c r="A166" s="129" t="s">
        <v>71</v>
      </c>
      <c r="B166" s="129"/>
      <c r="C166" s="54">
        <f>C164+C165</f>
        <v>5326.5771816783927</v>
      </c>
    </row>
    <row r="167" spans="1:5" ht="13.3" thickBot="1" x14ac:dyDescent="0.4">
      <c r="A167" s="130" t="s">
        <v>132</v>
      </c>
      <c r="B167" s="130"/>
      <c r="C167" s="55"/>
      <c r="D167" s="42"/>
      <c r="E167" s="37"/>
    </row>
    <row r="168" spans="1:5" ht="91.3" customHeight="1" thickBot="1" x14ac:dyDescent="0.4">
      <c r="A168" s="131" t="s">
        <v>133</v>
      </c>
      <c r="B168" s="132"/>
      <c r="C168" s="133"/>
    </row>
  </sheetData>
  <mergeCells count="41">
    <mergeCell ref="A45:C45"/>
    <mergeCell ref="A1:C1"/>
    <mergeCell ref="A2:C2"/>
    <mergeCell ref="A4:C4"/>
    <mergeCell ref="A5:C5"/>
    <mergeCell ref="A6:C6"/>
    <mergeCell ref="A10:C10"/>
    <mergeCell ref="A17:C17"/>
    <mergeCell ref="A24:C24"/>
    <mergeCell ref="A32:C32"/>
    <mergeCell ref="A40:B40"/>
    <mergeCell ref="A43:C43"/>
    <mergeCell ref="A99:B99"/>
    <mergeCell ref="A51:B51"/>
    <mergeCell ref="A54:D54"/>
    <mergeCell ref="A64:B64"/>
    <mergeCell ref="A66:B66"/>
    <mergeCell ref="A69:C69"/>
    <mergeCell ref="A76:B76"/>
    <mergeCell ref="A79:C79"/>
    <mergeCell ref="A85:B85"/>
    <mergeCell ref="A88:C88"/>
    <mergeCell ref="A94:B94"/>
    <mergeCell ref="A98:B98"/>
    <mergeCell ref="A153:B153"/>
    <mergeCell ref="A100:B100"/>
    <mergeCell ref="A103:C103"/>
    <mergeCell ref="A105:C105"/>
    <mergeCell ref="A114:B114"/>
    <mergeCell ref="A117:C117"/>
    <mergeCell ref="A121:B121"/>
    <mergeCell ref="A124:C124"/>
    <mergeCell ref="A129:B129"/>
    <mergeCell ref="A132:C132"/>
    <mergeCell ref="A139:B139"/>
    <mergeCell ref="A142:D142"/>
    <mergeCell ref="A156:C156"/>
    <mergeCell ref="A164:B164"/>
    <mergeCell ref="A166:B166"/>
    <mergeCell ref="A167:B167"/>
    <mergeCell ref="A168:C168"/>
  </mergeCells>
  <pageMargins left="0.511811024" right="0.511811024" top="0.78740157499999996" bottom="0.78740157499999996" header="0.31496062000000002" footer="0.31496062000000002"/>
  <pageSetup paperSize="9" scale="76" fitToHeight="0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24800F-112F-43F2-BD48-7BDD1D3F02AB}">
  <sheetPr>
    <pageSetUpPr fitToPage="1"/>
  </sheetPr>
  <dimension ref="A1:F168"/>
  <sheetViews>
    <sheetView showGridLines="0" topLeftCell="A49" zoomScale="115" zoomScaleNormal="115" workbookViewId="0">
      <selection activeCell="E69" sqref="E69"/>
    </sheetView>
  </sheetViews>
  <sheetFormatPr defaultColWidth="9.15234375" defaultRowHeight="12.9" x14ac:dyDescent="0.35"/>
  <cols>
    <col min="1" max="1" width="9.15234375" style="14"/>
    <col min="2" max="2" width="72.15234375" style="14" customWidth="1"/>
    <col min="3" max="3" width="23.921875" style="14" customWidth="1"/>
    <col min="4" max="4" width="15.3046875" style="14" bestFit="1" customWidth="1"/>
    <col min="5" max="5" width="14.69140625" style="14" customWidth="1"/>
    <col min="6" max="6" width="12" style="14" customWidth="1"/>
    <col min="7" max="7" width="15.15234375" style="14" customWidth="1"/>
    <col min="8" max="16384" width="9.15234375" style="14"/>
  </cols>
  <sheetData>
    <row r="1" spans="1:3" x14ac:dyDescent="0.35">
      <c r="A1" s="142" t="s">
        <v>107</v>
      </c>
      <c r="B1" s="142"/>
      <c r="C1" s="142"/>
    </row>
    <row r="2" spans="1:3" x14ac:dyDescent="0.35">
      <c r="A2" s="143" t="s">
        <v>200</v>
      </c>
      <c r="B2" s="143"/>
      <c r="C2" s="143"/>
    </row>
    <row r="3" spans="1:3" x14ac:dyDescent="0.35">
      <c r="A3" s="74"/>
      <c r="B3" s="74"/>
      <c r="C3" s="74"/>
    </row>
    <row r="4" spans="1:3" ht="12.9" customHeight="1" x14ac:dyDescent="0.35">
      <c r="A4" s="144" t="s">
        <v>201</v>
      </c>
      <c r="B4" s="144"/>
      <c r="C4" s="144"/>
    </row>
    <row r="5" spans="1:3" x14ac:dyDescent="0.35">
      <c r="A5" s="145" t="s">
        <v>154</v>
      </c>
      <c r="B5" s="145"/>
      <c r="C5" s="145"/>
    </row>
    <row r="6" spans="1:3" x14ac:dyDescent="0.35">
      <c r="A6" s="146" t="s">
        <v>157</v>
      </c>
      <c r="B6" s="146"/>
      <c r="C6" s="146"/>
    </row>
    <row r="10" spans="1:3" x14ac:dyDescent="0.35">
      <c r="A10" s="147" t="s">
        <v>108</v>
      </c>
      <c r="B10" s="147"/>
      <c r="C10" s="147"/>
    </row>
    <row r="11" spans="1:3" x14ac:dyDescent="0.35">
      <c r="A11" s="30" t="s">
        <v>14</v>
      </c>
      <c r="B11" s="29" t="s">
        <v>109</v>
      </c>
      <c r="C11" s="16" t="s">
        <v>110</v>
      </c>
    </row>
    <row r="12" spans="1:3" x14ac:dyDescent="0.35">
      <c r="A12" s="30" t="s">
        <v>15</v>
      </c>
      <c r="B12" s="29" t="s">
        <v>111</v>
      </c>
      <c r="C12" s="17" t="s">
        <v>197</v>
      </c>
    </row>
    <row r="13" spans="1:3" ht="15.65" customHeight="1" x14ac:dyDescent="0.35">
      <c r="A13" s="30" t="s">
        <v>16</v>
      </c>
      <c r="B13" s="29" t="s">
        <v>112</v>
      </c>
      <c r="C13" s="39" t="s">
        <v>156</v>
      </c>
    </row>
    <row r="14" spans="1:3" x14ac:dyDescent="0.35">
      <c r="A14" s="30" t="s">
        <v>17</v>
      </c>
      <c r="B14" s="29" t="s">
        <v>113</v>
      </c>
      <c r="C14" s="18">
        <v>12</v>
      </c>
    </row>
    <row r="17" spans="1:3" ht="15" customHeight="1" x14ac:dyDescent="0.35">
      <c r="A17" s="147" t="s">
        <v>128</v>
      </c>
      <c r="B17" s="147"/>
      <c r="C17" s="147"/>
    </row>
    <row r="18" spans="1:3" ht="30.9" customHeight="1" x14ac:dyDescent="0.35">
      <c r="A18" s="30">
        <v>1</v>
      </c>
      <c r="B18" s="70" t="s">
        <v>114</v>
      </c>
      <c r="C18" s="100" t="s">
        <v>158</v>
      </c>
    </row>
    <row r="19" spans="1:3" ht="15" customHeight="1" x14ac:dyDescent="0.35">
      <c r="A19" s="30">
        <v>2</v>
      </c>
      <c r="B19" s="27" t="s">
        <v>116</v>
      </c>
      <c r="C19" s="19" t="s">
        <v>117</v>
      </c>
    </row>
    <row r="20" spans="1:3" ht="15" customHeight="1" x14ac:dyDescent="0.35">
      <c r="A20" s="30">
        <v>3</v>
      </c>
      <c r="B20" s="27" t="s">
        <v>118</v>
      </c>
      <c r="C20" s="20">
        <v>1</v>
      </c>
    </row>
    <row r="21" spans="1:3" ht="15" customHeight="1" x14ac:dyDescent="0.35">
      <c r="A21" s="30">
        <v>4</v>
      </c>
      <c r="B21" s="27" t="s">
        <v>119</v>
      </c>
      <c r="C21" s="21" t="s">
        <v>120</v>
      </c>
    </row>
    <row r="23" spans="1:3" ht="15" customHeight="1" x14ac:dyDescent="0.35"/>
    <row r="24" spans="1:3" ht="15" customHeight="1" x14ac:dyDescent="0.35">
      <c r="A24" s="147" t="s">
        <v>121</v>
      </c>
      <c r="B24" s="147"/>
      <c r="C24" s="147"/>
    </row>
    <row r="25" spans="1:3" ht="15" customHeight="1" x14ac:dyDescent="0.35">
      <c r="A25" s="30">
        <v>1</v>
      </c>
      <c r="B25" s="22" t="s">
        <v>122</v>
      </c>
      <c r="C25" s="23" t="s">
        <v>123</v>
      </c>
    </row>
    <row r="26" spans="1:3" ht="15" customHeight="1" x14ac:dyDescent="0.35">
      <c r="A26" s="30">
        <v>2</v>
      </c>
      <c r="B26" s="22" t="s">
        <v>124</v>
      </c>
      <c r="C26" s="40" t="s">
        <v>125</v>
      </c>
    </row>
    <row r="27" spans="1:3" ht="15" customHeight="1" x14ac:dyDescent="0.35">
      <c r="A27" s="30">
        <v>3</v>
      </c>
      <c r="B27" s="25" t="s">
        <v>155</v>
      </c>
      <c r="C27" s="41">
        <v>1449.96</v>
      </c>
    </row>
    <row r="28" spans="1:3" ht="15" customHeight="1" x14ac:dyDescent="0.35">
      <c r="A28" s="30">
        <v>4</v>
      </c>
      <c r="B28" s="22" t="s">
        <v>126</v>
      </c>
      <c r="C28" s="21" t="s">
        <v>120</v>
      </c>
    </row>
    <row r="29" spans="1:3" ht="15" customHeight="1" x14ac:dyDescent="0.35">
      <c r="A29" s="30">
        <v>5</v>
      </c>
      <c r="B29" s="22" t="s">
        <v>127</v>
      </c>
      <c r="C29" s="26">
        <v>44562</v>
      </c>
    </row>
    <row r="31" spans="1:3" ht="13.3" thickBot="1" x14ac:dyDescent="0.4"/>
    <row r="32" spans="1:3" ht="16.3" thickBot="1" x14ac:dyDescent="0.4">
      <c r="A32" s="135" t="s">
        <v>11</v>
      </c>
      <c r="B32" s="136"/>
      <c r="C32" s="137"/>
    </row>
    <row r="34" spans="1:3" x14ac:dyDescent="0.35">
      <c r="A34" s="101">
        <v>1</v>
      </c>
      <c r="B34" s="101" t="s">
        <v>12</v>
      </c>
      <c r="C34" s="101" t="s">
        <v>13</v>
      </c>
    </row>
    <row r="35" spans="1:3" x14ac:dyDescent="0.35">
      <c r="A35" s="30" t="s">
        <v>14</v>
      </c>
      <c r="B35" s="45" t="s">
        <v>159</v>
      </c>
      <c r="C35" s="56">
        <f>C27</f>
        <v>1449.96</v>
      </c>
    </row>
    <row r="36" spans="1:3" x14ac:dyDescent="0.35">
      <c r="A36" s="30" t="s">
        <v>15</v>
      </c>
      <c r="B36" s="45" t="s">
        <v>203</v>
      </c>
      <c r="C36" s="56">
        <f>C35*30%</f>
        <v>434.988</v>
      </c>
    </row>
    <row r="37" spans="1:3" x14ac:dyDescent="0.35">
      <c r="A37" s="30" t="s">
        <v>17</v>
      </c>
      <c r="B37" s="45" t="s">
        <v>0</v>
      </c>
      <c r="C37" s="56"/>
    </row>
    <row r="38" spans="1:3" x14ac:dyDescent="0.35">
      <c r="A38" s="30" t="s">
        <v>18</v>
      </c>
      <c r="B38" s="45" t="s">
        <v>19</v>
      </c>
      <c r="C38" s="56"/>
    </row>
    <row r="39" spans="1:3" x14ac:dyDescent="0.35">
      <c r="A39" s="30" t="s">
        <v>20</v>
      </c>
      <c r="B39" s="45" t="s">
        <v>22</v>
      </c>
      <c r="C39" s="56"/>
    </row>
    <row r="40" spans="1:3" x14ac:dyDescent="0.35">
      <c r="A40" s="129" t="s">
        <v>1</v>
      </c>
      <c r="B40" s="129"/>
      <c r="C40" s="57">
        <f>SUM(C35:C39)</f>
        <v>1884.9480000000001</v>
      </c>
    </row>
    <row r="43" spans="1:3" x14ac:dyDescent="0.35">
      <c r="A43" s="148" t="s">
        <v>23</v>
      </c>
      <c r="B43" s="148"/>
      <c r="C43" s="148"/>
    </row>
    <row r="44" spans="1:3" x14ac:dyDescent="0.35">
      <c r="A44" s="32"/>
    </row>
    <row r="45" spans="1:3" x14ac:dyDescent="0.35">
      <c r="A45" s="138" t="s">
        <v>24</v>
      </c>
      <c r="B45" s="138"/>
      <c r="C45" s="138"/>
    </row>
    <row r="47" spans="1:3" x14ac:dyDescent="0.35">
      <c r="A47" s="101" t="s">
        <v>25</v>
      </c>
      <c r="B47" s="101" t="s">
        <v>26</v>
      </c>
      <c r="C47" s="101" t="s">
        <v>13</v>
      </c>
    </row>
    <row r="48" spans="1:3" x14ac:dyDescent="0.35">
      <c r="A48" s="30" t="s">
        <v>14</v>
      </c>
      <c r="B48" s="45" t="s">
        <v>27</v>
      </c>
      <c r="C48" s="56">
        <f>C40/12</f>
        <v>157.07900000000001</v>
      </c>
    </row>
    <row r="49" spans="1:4" x14ac:dyDescent="0.35">
      <c r="A49" s="30" t="s">
        <v>15</v>
      </c>
      <c r="B49" s="45" t="s">
        <v>74</v>
      </c>
      <c r="C49" s="56">
        <f>C40/12</f>
        <v>157.07900000000001</v>
      </c>
    </row>
    <row r="50" spans="1:4" x14ac:dyDescent="0.35">
      <c r="A50" s="30" t="s">
        <v>16</v>
      </c>
      <c r="B50" s="45" t="s">
        <v>75</v>
      </c>
      <c r="C50" s="56">
        <f>(C40/12)/3</f>
        <v>52.359666666666669</v>
      </c>
    </row>
    <row r="51" spans="1:4" x14ac:dyDescent="0.35">
      <c r="A51" s="129" t="s">
        <v>1</v>
      </c>
      <c r="B51" s="129"/>
      <c r="C51" s="57">
        <f>SUM(C48:C50)</f>
        <v>366.51766666666668</v>
      </c>
    </row>
    <row r="54" spans="1:4" ht="32.25" customHeight="1" x14ac:dyDescent="0.35">
      <c r="A54" s="139" t="s">
        <v>28</v>
      </c>
      <c r="B54" s="139"/>
      <c r="C54" s="139"/>
      <c r="D54" s="139"/>
    </row>
    <row r="56" spans="1:4" x14ac:dyDescent="0.35">
      <c r="A56" s="101" t="s">
        <v>29</v>
      </c>
      <c r="B56" s="101" t="s">
        <v>30</v>
      </c>
      <c r="C56" s="101" t="s">
        <v>31</v>
      </c>
      <c r="D56" s="101" t="s">
        <v>13</v>
      </c>
    </row>
    <row r="57" spans="1:4" x14ac:dyDescent="0.35">
      <c r="A57" s="30" t="s">
        <v>14</v>
      </c>
      <c r="B57" s="45" t="s">
        <v>32</v>
      </c>
      <c r="C57" s="65">
        <v>0.2</v>
      </c>
      <c r="D57" s="56">
        <f>(C40+C51)*C57</f>
        <v>450.2931333333334</v>
      </c>
    </row>
    <row r="58" spans="1:4" x14ac:dyDescent="0.35">
      <c r="A58" s="30" t="s">
        <v>15</v>
      </c>
      <c r="B58" s="45" t="s">
        <v>33</v>
      </c>
      <c r="C58" s="65">
        <v>2.5000000000000001E-2</v>
      </c>
      <c r="D58" s="56">
        <f>(C40+C51)*C58</f>
        <v>56.286641666666675</v>
      </c>
    </row>
    <row r="59" spans="1:4" x14ac:dyDescent="0.35">
      <c r="A59" s="30" t="s">
        <v>16</v>
      </c>
      <c r="B59" s="45" t="s">
        <v>34</v>
      </c>
      <c r="C59" s="66">
        <v>0.03</v>
      </c>
      <c r="D59" s="56">
        <f>(C40+C51)*C59</f>
        <v>67.543970000000002</v>
      </c>
    </row>
    <row r="60" spans="1:4" x14ac:dyDescent="0.35">
      <c r="A60" s="30" t="s">
        <v>17</v>
      </c>
      <c r="B60" s="45" t="s">
        <v>35</v>
      </c>
      <c r="C60" s="65">
        <v>1.4999999999999999E-2</v>
      </c>
      <c r="D60" s="56">
        <f>(C40+C51)*C60</f>
        <v>33.771985000000001</v>
      </c>
    </row>
    <row r="61" spans="1:4" x14ac:dyDescent="0.35">
      <c r="A61" s="30" t="s">
        <v>18</v>
      </c>
      <c r="B61" s="45" t="s">
        <v>36</v>
      </c>
      <c r="C61" s="65">
        <v>0.01</v>
      </c>
      <c r="D61" s="56">
        <f>(C40+C51)*C61</f>
        <v>22.514656666666671</v>
      </c>
    </row>
    <row r="62" spans="1:4" x14ac:dyDescent="0.35">
      <c r="A62" s="30" t="s">
        <v>20</v>
      </c>
      <c r="B62" s="45" t="s">
        <v>3</v>
      </c>
      <c r="C62" s="65">
        <v>6.0000000000000001E-3</v>
      </c>
      <c r="D62" s="56">
        <f>(C40+C40)*C62</f>
        <v>22.619376000000003</v>
      </c>
    </row>
    <row r="63" spans="1:4" x14ac:dyDescent="0.35">
      <c r="A63" s="30" t="s">
        <v>21</v>
      </c>
      <c r="B63" s="45" t="s">
        <v>4</v>
      </c>
      <c r="C63" s="65">
        <v>2E-3</v>
      </c>
      <c r="D63" s="56">
        <f>(C40+C51)*C63</f>
        <v>4.5029313333333336</v>
      </c>
    </row>
    <row r="64" spans="1:4" x14ac:dyDescent="0.35">
      <c r="A64" s="140" t="s">
        <v>76</v>
      </c>
      <c r="B64" s="140"/>
      <c r="C64" s="67">
        <f>SUM(C57:C63)</f>
        <v>0.28800000000000003</v>
      </c>
      <c r="D64" s="68">
        <f>SUM(D57:D63)</f>
        <v>657.53269400000011</v>
      </c>
    </row>
    <row r="65" spans="1:5" x14ac:dyDescent="0.35">
      <c r="A65" s="30" t="s">
        <v>37</v>
      </c>
      <c r="B65" s="45" t="s">
        <v>5</v>
      </c>
      <c r="C65" s="65">
        <v>0.08</v>
      </c>
      <c r="D65" s="56">
        <f>(C40+C51)*C65</f>
        <v>180.11725333333337</v>
      </c>
    </row>
    <row r="66" spans="1:5" x14ac:dyDescent="0.35">
      <c r="A66" s="129" t="s">
        <v>38</v>
      </c>
      <c r="B66" s="129"/>
      <c r="C66" s="71">
        <f>SUM(C64:C65)</f>
        <v>0.36800000000000005</v>
      </c>
      <c r="D66" s="57">
        <f>SUM(D64:D65)</f>
        <v>837.64994733333344</v>
      </c>
    </row>
    <row r="69" spans="1:5" x14ac:dyDescent="0.35">
      <c r="A69" s="138" t="s">
        <v>39</v>
      </c>
      <c r="B69" s="138"/>
      <c r="C69" s="138"/>
    </row>
    <row r="71" spans="1:5" x14ac:dyDescent="0.35">
      <c r="A71" s="101" t="s">
        <v>40</v>
      </c>
      <c r="B71" s="101" t="s">
        <v>41</v>
      </c>
      <c r="C71" s="101" t="s">
        <v>13</v>
      </c>
    </row>
    <row r="72" spans="1:5" x14ac:dyDescent="0.35">
      <c r="A72" s="30" t="s">
        <v>14</v>
      </c>
      <c r="B72" s="45" t="s">
        <v>186</v>
      </c>
      <c r="C72" s="93">
        <f>(4.1*2*15)-(C35/100)*6</f>
        <v>36.00239999999998</v>
      </c>
      <c r="D72" s="38"/>
      <c r="E72" s="38"/>
    </row>
    <row r="73" spans="1:5" x14ac:dyDescent="0.35">
      <c r="A73" s="30" t="s">
        <v>15</v>
      </c>
      <c r="B73" s="45" t="s">
        <v>204</v>
      </c>
      <c r="C73" s="56">
        <f>(23.13*15)-(23.13*15*2%)</f>
        <v>340.01099999999997</v>
      </c>
      <c r="D73" s="35"/>
    </row>
    <row r="74" spans="1:5" x14ac:dyDescent="0.35">
      <c r="A74" s="30" t="s">
        <v>16</v>
      </c>
      <c r="B74" s="45" t="s">
        <v>162</v>
      </c>
      <c r="C74" s="56">
        <v>45</v>
      </c>
    </row>
    <row r="75" spans="1:5" x14ac:dyDescent="0.35">
      <c r="A75" s="30" t="s">
        <v>17</v>
      </c>
      <c r="B75" s="1" t="s">
        <v>77</v>
      </c>
      <c r="C75" s="56"/>
    </row>
    <row r="76" spans="1:5" x14ac:dyDescent="0.35">
      <c r="A76" s="129" t="s">
        <v>1</v>
      </c>
      <c r="B76" s="129"/>
      <c r="C76" s="57">
        <f>SUM(C72:C75)</f>
        <v>421.01339999999993</v>
      </c>
    </row>
    <row r="79" spans="1:5" x14ac:dyDescent="0.35">
      <c r="A79" s="138" t="s">
        <v>42</v>
      </c>
      <c r="B79" s="138"/>
      <c r="C79" s="138"/>
    </row>
    <row r="81" spans="1:4" x14ac:dyDescent="0.35">
      <c r="A81" s="101">
        <v>2</v>
      </c>
      <c r="B81" s="101" t="s">
        <v>43</v>
      </c>
      <c r="C81" s="101" t="s">
        <v>13</v>
      </c>
    </row>
    <row r="82" spans="1:4" x14ac:dyDescent="0.35">
      <c r="A82" s="30" t="s">
        <v>25</v>
      </c>
      <c r="B82" s="45" t="s">
        <v>26</v>
      </c>
      <c r="C82" s="47">
        <f>C51</f>
        <v>366.51766666666668</v>
      </c>
    </row>
    <row r="83" spans="1:4" x14ac:dyDescent="0.35">
      <c r="A83" s="30" t="s">
        <v>29</v>
      </c>
      <c r="B83" s="45" t="s">
        <v>30</v>
      </c>
      <c r="C83" s="47">
        <f>D66</f>
        <v>837.64994733333344</v>
      </c>
    </row>
    <row r="84" spans="1:4" x14ac:dyDescent="0.35">
      <c r="A84" s="30" t="s">
        <v>40</v>
      </c>
      <c r="B84" s="45" t="s">
        <v>41</v>
      </c>
      <c r="C84" s="47">
        <f>C76</f>
        <v>421.01339999999993</v>
      </c>
    </row>
    <row r="85" spans="1:4" x14ac:dyDescent="0.35">
      <c r="A85" s="129" t="s">
        <v>1</v>
      </c>
      <c r="B85" s="129"/>
      <c r="C85" s="50">
        <f>SUM(C82:C84)</f>
        <v>1625.1810140000002</v>
      </c>
    </row>
    <row r="86" spans="1:4" x14ac:dyDescent="0.35">
      <c r="A86" s="33"/>
    </row>
    <row r="87" spans="1:4" ht="13.3" thickBot="1" x14ac:dyDescent="0.4"/>
    <row r="88" spans="1:4" ht="16.3" thickBot="1" x14ac:dyDescent="0.4">
      <c r="A88" s="135" t="s">
        <v>44</v>
      </c>
      <c r="B88" s="136"/>
      <c r="C88" s="137"/>
    </row>
    <row r="90" spans="1:4" x14ac:dyDescent="0.35">
      <c r="A90" s="101">
        <v>3</v>
      </c>
      <c r="B90" s="101" t="s">
        <v>45</v>
      </c>
      <c r="C90" s="101" t="s">
        <v>13</v>
      </c>
    </row>
    <row r="91" spans="1:4" x14ac:dyDescent="0.35">
      <c r="A91" s="30" t="s">
        <v>14</v>
      </c>
      <c r="B91" s="60" t="s">
        <v>151</v>
      </c>
      <c r="C91" s="56">
        <f>(C40+C85-D64)/12</f>
        <v>237.71636000000001</v>
      </c>
      <c r="D91" s="34"/>
    </row>
    <row r="92" spans="1:4" x14ac:dyDescent="0.35">
      <c r="A92" s="30" t="s">
        <v>15</v>
      </c>
      <c r="B92" s="60" t="s">
        <v>46</v>
      </c>
      <c r="C92" s="61">
        <f>C91*8%</f>
        <v>19.017308800000002</v>
      </c>
    </row>
    <row r="93" spans="1:4" x14ac:dyDescent="0.35">
      <c r="A93" s="30" t="s">
        <v>16</v>
      </c>
      <c r="B93" s="60" t="s">
        <v>47</v>
      </c>
      <c r="C93" s="61">
        <f>(D65*50%)</f>
        <v>90.058626666666683</v>
      </c>
    </row>
    <row r="94" spans="1:4" x14ac:dyDescent="0.35">
      <c r="A94" s="141" t="s">
        <v>78</v>
      </c>
      <c r="B94" s="141"/>
      <c r="C94" s="57">
        <f>(C91+C93)*59.06%</f>
        <v>193.58390712533335</v>
      </c>
    </row>
    <row r="95" spans="1:4" ht="25.75" x14ac:dyDescent="0.35">
      <c r="A95" s="30" t="s">
        <v>17</v>
      </c>
      <c r="B95" s="62" t="s">
        <v>152</v>
      </c>
      <c r="C95" s="61">
        <f>(C40+C85)/12</f>
        <v>292.51075116666669</v>
      </c>
    </row>
    <row r="96" spans="1:4" x14ac:dyDescent="0.35">
      <c r="A96" s="30" t="s">
        <v>18</v>
      </c>
      <c r="B96" s="60" t="s">
        <v>48</v>
      </c>
      <c r="C96" s="56">
        <f>(C95*C66)</f>
        <v>107.64395642933336</v>
      </c>
    </row>
    <row r="97" spans="1:5" x14ac:dyDescent="0.35">
      <c r="A97" s="30" t="s">
        <v>20</v>
      </c>
      <c r="B97" s="60" t="s">
        <v>49</v>
      </c>
      <c r="C97" s="56">
        <f>C93</f>
        <v>90.058626666666683</v>
      </c>
    </row>
    <row r="98" spans="1:5" x14ac:dyDescent="0.35">
      <c r="A98" s="141" t="s">
        <v>79</v>
      </c>
      <c r="B98" s="141"/>
      <c r="C98" s="57">
        <f>(C95+C97)*6.56%</f>
        <v>25.096551185866666</v>
      </c>
    </row>
    <row r="99" spans="1:5" x14ac:dyDescent="0.35">
      <c r="A99" s="129" t="s">
        <v>80</v>
      </c>
      <c r="B99" s="129"/>
      <c r="C99" s="63">
        <f>C51*4.51%</f>
        <v>16.529946766666669</v>
      </c>
    </row>
    <row r="100" spans="1:5" x14ac:dyDescent="0.35">
      <c r="A100" s="134" t="s">
        <v>81</v>
      </c>
      <c r="B100" s="134"/>
      <c r="C100" s="64">
        <f>(C94+C98)-C99</f>
        <v>202.15051154453334</v>
      </c>
    </row>
    <row r="102" spans="1:5" ht="13.3" thickBot="1" x14ac:dyDescent="0.4"/>
    <row r="103" spans="1:5" ht="16.3" thickBot="1" x14ac:dyDescent="0.4">
      <c r="A103" s="135" t="s">
        <v>50</v>
      </c>
      <c r="B103" s="136"/>
      <c r="C103" s="137"/>
    </row>
    <row r="105" spans="1:5" x14ac:dyDescent="0.35">
      <c r="A105" s="138" t="s">
        <v>51</v>
      </c>
      <c r="B105" s="138"/>
      <c r="C105" s="138"/>
    </row>
    <row r="106" spans="1:5" x14ac:dyDescent="0.35">
      <c r="A106" s="32"/>
    </row>
    <row r="107" spans="1:5" x14ac:dyDescent="0.35">
      <c r="A107" s="101" t="s">
        <v>52</v>
      </c>
      <c r="B107" s="101" t="s">
        <v>53</v>
      </c>
      <c r="C107" s="101" t="s">
        <v>13</v>
      </c>
    </row>
    <row r="108" spans="1:5" x14ac:dyDescent="0.35">
      <c r="A108" s="30" t="s">
        <v>14</v>
      </c>
      <c r="B108" s="45" t="s">
        <v>2</v>
      </c>
      <c r="C108" s="59"/>
    </row>
    <row r="109" spans="1:5" x14ac:dyDescent="0.35">
      <c r="A109" s="30" t="s">
        <v>15</v>
      </c>
      <c r="B109" s="45" t="s">
        <v>130</v>
      </c>
      <c r="C109" s="72">
        <f>(C100+C85+C40)/30*21.3562/12</f>
        <v>220.22273334287271</v>
      </c>
      <c r="E109" s="35"/>
    </row>
    <row r="110" spans="1:5" x14ac:dyDescent="0.35">
      <c r="A110" s="30" t="s">
        <v>16</v>
      </c>
      <c r="B110" s="45" t="s">
        <v>54</v>
      </c>
      <c r="C110" s="47"/>
    </row>
    <row r="111" spans="1:5" x14ac:dyDescent="0.35">
      <c r="A111" s="30" t="s">
        <v>17</v>
      </c>
      <c r="B111" s="45" t="s">
        <v>55</v>
      </c>
      <c r="C111" s="47"/>
    </row>
    <row r="112" spans="1:5" x14ac:dyDescent="0.35">
      <c r="A112" s="30" t="s">
        <v>18</v>
      </c>
      <c r="B112" s="45" t="s">
        <v>56</v>
      </c>
      <c r="C112" s="47"/>
    </row>
    <row r="113" spans="1:5" x14ac:dyDescent="0.35">
      <c r="A113" s="30" t="s">
        <v>20</v>
      </c>
      <c r="B113" s="45" t="s">
        <v>22</v>
      </c>
      <c r="C113" s="30"/>
    </row>
    <row r="114" spans="1:5" x14ac:dyDescent="0.35">
      <c r="A114" s="129" t="s">
        <v>38</v>
      </c>
      <c r="B114" s="129"/>
      <c r="C114" s="50">
        <f>SUM(C108:C113)</f>
        <v>220.22273334287271</v>
      </c>
    </row>
    <row r="117" spans="1:5" x14ac:dyDescent="0.35">
      <c r="A117" s="138" t="s">
        <v>57</v>
      </c>
      <c r="B117" s="138"/>
      <c r="C117" s="138"/>
      <c r="D117" s="35"/>
      <c r="E117" s="35"/>
    </row>
    <row r="118" spans="1:5" x14ac:dyDescent="0.35">
      <c r="A118" s="32"/>
    </row>
    <row r="119" spans="1:5" x14ac:dyDescent="0.35">
      <c r="A119" s="101" t="s">
        <v>58</v>
      </c>
      <c r="B119" s="101" t="s">
        <v>59</v>
      </c>
      <c r="C119" s="101" t="s">
        <v>13</v>
      </c>
    </row>
    <row r="120" spans="1:5" x14ac:dyDescent="0.35">
      <c r="A120" s="30" t="s">
        <v>14</v>
      </c>
      <c r="B120" s="45" t="s">
        <v>166</v>
      </c>
      <c r="C120" s="56">
        <f>(C40+C85+C100)/220*15</f>
        <v>253.10996765076362</v>
      </c>
    </row>
    <row r="121" spans="1:5" x14ac:dyDescent="0.35">
      <c r="A121" s="129" t="s">
        <v>1</v>
      </c>
      <c r="B121" s="129"/>
      <c r="C121" s="57">
        <f>C120</f>
        <v>253.10996765076362</v>
      </c>
    </row>
    <row r="124" spans="1:5" x14ac:dyDescent="0.35">
      <c r="A124" s="138" t="s">
        <v>60</v>
      </c>
      <c r="B124" s="138"/>
      <c r="C124" s="138"/>
    </row>
    <row r="125" spans="1:5" x14ac:dyDescent="0.35">
      <c r="A125" s="32"/>
    </row>
    <row r="126" spans="1:5" x14ac:dyDescent="0.35">
      <c r="A126" s="101">
        <v>4</v>
      </c>
      <c r="B126" s="102" t="s">
        <v>61</v>
      </c>
      <c r="C126" s="101" t="s">
        <v>13</v>
      </c>
    </row>
    <row r="127" spans="1:5" x14ac:dyDescent="0.35">
      <c r="A127" s="30" t="s">
        <v>52</v>
      </c>
      <c r="B127" s="45" t="s">
        <v>53</v>
      </c>
      <c r="C127" s="47">
        <f>C114</f>
        <v>220.22273334287271</v>
      </c>
    </row>
    <row r="128" spans="1:5" x14ac:dyDescent="0.35">
      <c r="A128" s="30" t="s">
        <v>58</v>
      </c>
      <c r="B128" s="45" t="s">
        <v>165</v>
      </c>
      <c r="C128" s="47">
        <f>C120</f>
        <v>253.10996765076362</v>
      </c>
    </row>
    <row r="129" spans="1:4" x14ac:dyDescent="0.35">
      <c r="A129" s="129" t="s">
        <v>1</v>
      </c>
      <c r="B129" s="129"/>
      <c r="C129" s="50">
        <f>SUM(C127:C128)</f>
        <v>473.33270099363631</v>
      </c>
    </row>
    <row r="131" spans="1:4" ht="13.3" thickBot="1" x14ac:dyDescent="0.4"/>
    <row r="132" spans="1:4" ht="16.3" thickBot="1" x14ac:dyDescent="0.4">
      <c r="A132" s="135" t="s">
        <v>62</v>
      </c>
      <c r="B132" s="136"/>
      <c r="C132" s="137"/>
    </row>
    <row r="134" spans="1:4" x14ac:dyDescent="0.35">
      <c r="A134" s="101">
        <v>5</v>
      </c>
      <c r="B134" s="44" t="s">
        <v>6</v>
      </c>
      <c r="C134" s="101" t="s">
        <v>13</v>
      </c>
    </row>
    <row r="135" spans="1:4" x14ac:dyDescent="0.35">
      <c r="A135" s="30" t="s">
        <v>14</v>
      </c>
      <c r="B135" s="45" t="s">
        <v>63</v>
      </c>
      <c r="C135" s="56">
        <f>INSUMOS!E12</f>
        <v>106.48583333333336</v>
      </c>
    </row>
    <row r="136" spans="1:4" x14ac:dyDescent="0.35">
      <c r="A136" s="30" t="s">
        <v>15</v>
      </c>
      <c r="B136" s="45" t="s">
        <v>64</v>
      </c>
      <c r="C136" s="56">
        <f>INSUMOS!K26</f>
        <v>30.855</v>
      </c>
    </row>
    <row r="137" spans="1:4" x14ac:dyDescent="0.35">
      <c r="A137" s="30" t="s">
        <v>16</v>
      </c>
      <c r="B137" s="45" t="s">
        <v>142</v>
      </c>
      <c r="C137" s="56">
        <f>INSUMOS!E43</f>
        <v>68.890708333333336</v>
      </c>
    </row>
    <row r="138" spans="1:4" x14ac:dyDescent="0.35">
      <c r="A138" s="30" t="s">
        <v>17</v>
      </c>
      <c r="B138" s="45" t="s">
        <v>77</v>
      </c>
      <c r="C138" s="56"/>
    </row>
    <row r="139" spans="1:4" x14ac:dyDescent="0.35">
      <c r="A139" s="129" t="s">
        <v>38</v>
      </c>
      <c r="B139" s="129"/>
      <c r="C139" s="57">
        <f>SUM(C135:C138)</f>
        <v>206.23154166666671</v>
      </c>
    </row>
    <row r="141" spans="1:4" ht="13.3" thickBot="1" x14ac:dyDescent="0.4"/>
    <row r="142" spans="1:4" ht="16.3" thickBot="1" x14ac:dyDescent="0.4">
      <c r="A142" s="135" t="s">
        <v>65</v>
      </c>
      <c r="B142" s="136"/>
      <c r="C142" s="136"/>
      <c r="D142" s="137"/>
    </row>
    <row r="144" spans="1:4" x14ac:dyDescent="0.35">
      <c r="A144" s="101">
        <v>6</v>
      </c>
      <c r="B144" s="44" t="s">
        <v>7</v>
      </c>
      <c r="C144" s="101" t="s">
        <v>31</v>
      </c>
      <c r="D144" s="101" t="s">
        <v>13</v>
      </c>
    </row>
    <row r="145" spans="1:6" x14ac:dyDescent="0.35">
      <c r="A145" s="30" t="s">
        <v>14</v>
      </c>
      <c r="B145" s="45" t="s">
        <v>8</v>
      </c>
      <c r="C145" s="73">
        <v>0.06</v>
      </c>
      <c r="D145" s="47">
        <f>(C139+C129+C100+C85+C40)*C145</f>
        <v>263.51062609229024</v>
      </c>
    </row>
    <row r="146" spans="1:6" x14ac:dyDescent="0.35">
      <c r="A146" s="30" t="s">
        <v>15</v>
      </c>
      <c r="B146" s="45" t="s">
        <v>10</v>
      </c>
      <c r="C146" s="46">
        <v>6.7900000000000002E-2</v>
      </c>
      <c r="D146" s="47">
        <f>(C139+C129+C100+C85+C40)*C146</f>
        <v>298.20619186110844</v>
      </c>
    </row>
    <row r="147" spans="1:6" x14ac:dyDescent="0.35">
      <c r="A147" s="30" t="s">
        <v>16</v>
      </c>
      <c r="B147" s="45" t="s">
        <v>9</v>
      </c>
      <c r="C147" s="73"/>
      <c r="D147" s="47"/>
    </row>
    <row r="148" spans="1:6" x14ac:dyDescent="0.35">
      <c r="A148" s="30"/>
      <c r="B148" s="45" t="s">
        <v>72</v>
      </c>
      <c r="C148" s="46">
        <v>6.4999999999999997E-3</v>
      </c>
      <c r="D148" s="47">
        <f>(C139+C129+C100+C85+C40)*C148</f>
        <v>28.54698449333144</v>
      </c>
    </row>
    <row r="149" spans="1:6" x14ac:dyDescent="0.35">
      <c r="A149" s="30"/>
      <c r="B149" s="45" t="s">
        <v>73</v>
      </c>
      <c r="C149" s="46">
        <v>0.03</v>
      </c>
      <c r="D149" s="47">
        <f>(C139+C129+C100+C85+C40)*C149</f>
        <v>131.75531304614512</v>
      </c>
    </row>
    <row r="150" spans="1:6" x14ac:dyDescent="0.35">
      <c r="A150" s="30"/>
      <c r="B150" s="45" t="s">
        <v>66</v>
      </c>
      <c r="C150" s="73"/>
      <c r="D150" s="47"/>
    </row>
    <row r="151" spans="1:6" x14ac:dyDescent="0.35">
      <c r="A151" s="30"/>
      <c r="B151" s="45" t="s">
        <v>185</v>
      </c>
      <c r="C151" s="106">
        <v>0.05</v>
      </c>
      <c r="D151" s="47">
        <f>(C139+C129+C100+C85+C40)*C151</f>
        <v>219.59218841024187</v>
      </c>
    </row>
    <row r="152" spans="1:6" x14ac:dyDescent="0.35">
      <c r="A152" s="30"/>
      <c r="B152" s="45" t="s">
        <v>86</v>
      </c>
      <c r="C152" s="48">
        <f>SUM(C145:C151)</f>
        <v>0.21440000000000003</v>
      </c>
      <c r="D152" s="47">
        <f>(C139+C129+C100+C85+C40)*C152</f>
        <v>941.61130390311723</v>
      </c>
      <c r="E152" s="36"/>
      <c r="F152" s="37"/>
    </row>
    <row r="153" spans="1:6" x14ac:dyDescent="0.35">
      <c r="A153" s="129" t="s">
        <v>38</v>
      </c>
      <c r="B153" s="129"/>
      <c r="C153" s="46"/>
      <c r="D153" s="50">
        <f>D152</f>
        <v>941.61130390311723</v>
      </c>
    </row>
    <row r="155" spans="1:6" ht="13.3" thickBot="1" x14ac:dyDescent="0.4"/>
    <row r="156" spans="1:6" ht="16.3" thickBot="1" x14ac:dyDescent="0.4">
      <c r="A156" s="126" t="s">
        <v>67</v>
      </c>
      <c r="B156" s="127"/>
      <c r="C156" s="128"/>
    </row>
    <row r="158" spans="1:6" x14ac:dyDescent="0.35">
      <c r="A158" s="101"/>
      <c r="B158" s="101" t="s">
        <v>68</v>
      </c>
      <c r="C158" s="101" t="s">
        <v>13</v>
      </c>
    </row>
    <row r="159" spans="1:6" x14ac:dyDescent="0.35">
      <c r="A159" s="101" t="s">
        <v>14</v>
      </c>
      <c r="B159" s="45" t="s">
        <v>11</v>
      </c>
      <c r="C159" s="51">
        <f>C40</f>
        <v>1884.9480000000001</v>
      </c>
    </row>
    <row r="160" spans="1:6" x14ac:dyDescent="0.35">
      <c r="A160" s="101" t="s">
        <v>15</v>
      </c>
      <c r="B160" s="45" t="s">
        <v>23</v>
      </c>
      <c r="C160" s="51">
        <f>C85</f>
        <v>1625.1810140000002</v>
      </c>
    </row>
    <row r="161" spans="1:5" x14ac:dyDescent="0.35">
      <c r="A161" s="101" t="s">
        <v>16</v>
      </c>
      <c r="B161" s="45" t="s">
        <v>44</v>
      </c>
      <c r="C161" s="51">
        <f>C100</f>
        <v>202.15051154453334</v>
      </c>
    </row>
    <row r="162" spans="1:5" x14ac:dyDescent="0.35">
      <c r="A162" s="101" t="s">
        <v>17</v>
      </c>
      <c r="B162" s="52" t="s">
        <v>50</v>
      </c>
      <c r="C162" s="51">
        <f>C129</f>
        <v>473.33270099363631</v>
      </c>
    </row>
    <row r="163" spans="1:5" x14ac:dyDescent="0.35">
      <c r="A163" s="101" t="s">
        <v>18</v>
      </c>
      <c r="B163" s="45" t="s">
        <v>62</v>
      </c>
      <c r="C163" s="51">
        <f>C139</f>
        <v>206.23154166666671</v>
      </c>
    </row>
    <row r="164" spans="1:5" x14ac:dyDescent="0.35">
      <c r="A164" s="129" t="s">
        <v>69</v>
      </c>
      <c r="B164" s="129"/>
      <c r="C164" s="53">
        <f>SUM(C159:C163)</f>
        <v>4391.843768204837</v>
      </c>
    </row>
    <row r="165" spans="1:5" x14ac:dyDescent="0.35">
      <c r="A165" s="101" t="s">
        <v>20</v>
      </c>
      <c r="B165" s="45" t="s">
        <v>70</v>
      </c>
      <c r="C165" s="51">
        <f>D153</f>
        <v>941.61130390311723</v>
      </c>
    </row>
    <row r="166" spans="1:5" x14ac:dyDescent="0.35">
      <c r="A166" s="129" t="s">
        <v>71</v>
      </c>
      <c r="B166" s="129"/>
      <c r="C166" s="54">
        <f>C164+C165</f>
        <v>5333.455072107954</v>
      </c>
    </row>
    <row r="167" spans="1:5" ht="13.3" thickBot="1" x14ac:dyDescent="0.4">
      <c r="A167" s="130" t="s">
        <v>132</v>
      </c>
      <c r="B167" s="130"/>
      <c r="C167" s="55"/>
      <c r="D167" s="42"/>
      <c r="E167" s="37"/>
    </row>
    <row r="168" spans="1:5" ht="91.3" customHeight="1" thickBot="1" x14ac:dyDescent="0.4">
      <c r="A168" s="131" t="s">
        <v>133</v>
      </c>
      <c r="B168" s="132"/>
      <c r="C168" s="133"/>
    </row>
  </sheetData>
  <mergeCells count="41">
    <mergeCell ref="A45:C45"/>
    <mergeCell ref="A1:C1"/>
    <mergeCell ref="A2:C2"/>
    <mergeCell ref="A4:C4"/>
    <mergeCell ref="A5:C5"/>
    <mergeCell ref="A6:C6"/>
    <mergeCell ref="A10:C10"/>
    <mergeCell ref="A17:C17"/>
    <mergeCell ref="A24:C24"/>
    <mergeCell ref="A32:C32"/>
    <mergeCell ref="A40:B40"/>
    <mergeCell ref="A43:C43"/>
    <mergeCell ref="A99:B99"/>
    <mergeCell ref="A51:B51"/>
    <mergeCell ref="A54:D54"/>
    <mergeCell ref="A64:B64"/>
    <mergeCell ref="A66:B66"/>
    <mergeCell ref="A69:C69"/>
    <mergeCell ref="A76:B76"/>
    <mergeCell ref="A79:C79"/>
    <mergeCell ref="A85:B85"/>
    <mergeCell ref="A88:C88"/>
    <mergeCell ref="A94:B94"/>
    <mergeCell ref="A98:B98"/>
    <mergeCell ref="A153:B153"/>
    <mergeCell ref="A100:B100"/>
    <mergeCell ref="A103:C103"/>
    <mergeCell ref="A105:C105"/>
    <mergeCell ref="A114:B114"/>
    <mergeCell ref="A117:C117"/>
    <mergeCell ref="A121:B121"/>
    <mergeCell ref="A124:C124"/>
    <mergeCell ref="A129:B129"/>
    <mergeCell ref="A132:C132"/>
    <mergeCell ref="A139:B139"/>
    <mergeCell ref="A142:D142"/>
    <mergeCell ref="A156:C156"/>
    <mergeCell ref="A164:B164"/>
    <mergeCell ref="A166:B166"/>
    <mergeCell ref="A167:B167"/>
    <mergeCell ref="A168:C168"/>
  </mergeCells>
  <pageMargins left="0.511811024" right="0.511811024" top="0.78740157499999996" bottom="0.78740157499999996" header="0.31496062000000002" footer="0.31496062000000002"/>
  <pageSetup paperSize="9" scale="76" fitToHeight="0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B77AC7-10F5-49DD-8EF4-8053B6D76A4B}">
  <sheetPr>
    <pageSetUpPr fitToPage="1"/>
  </sheetPr>
  <dimension ref="A1:F168"/>
  <sheetViews>
    <sheetView showGridLines="0" topLeftCell="A46" zoomScale="115" zoomScaleNormal="115" workbookViewId="0">
      <selection activeCell="G75" sqref="G75"/>
    </sheetView>
  </sheetViews>
  <sheetFormatPr defaultColWidth="9.15234375" defaultRowHeight="12.9" x14ac:dyDescent="0.35"/>
  <cols>
    <col min="1" max="1" width="9.15234375" style="14"/>
    <col min="2" max="2" width="72.15234375" style="14" customWidth="1"/>
    <col min="3" max="3" width="23.921875" style="14" customWidth="1"/>
    <col min="4" max="4" width="15.3046875" style="14" bestFit="1" customWidth="1"/>
    <col min="5" max="5" width="14.69140625" style="14" customWidth="1"/>
    <col min="6" max="6" width="12" style="14" customWidth="1"/>
    <col min="7" max="7" width="15.15234375" style="14" customWidth="1"/>
    <col min="8" max="16384" width="9.15234375" style="14"/>
  </cols>
  <sheetData>
    <row r="1" spans="1:3" x14ac:dyDescent="0.35">
      <c r="A1" s="142" t="s">
        <v>107</v>
      </c>
      <c r="B1" s="142"/>
      <c r="C1" s="142"/>
    </row>
    <row r="2" spans="1:3" x14ac:dyDescent="0.35">
      <c r="A2" s="143" t="s">
        <v>200</v>
      </c>
      <c r="B2" s="143"/>
      <c r="C2" s="143"/>
    </row>
    <row r="3" spans="1:3" x14ac:dyDescent="0.35">
      <c r="A3" s="74"/>
      <c r="B3" s="74"/>
      <c r="C3" s="74"/>
    </row>
    <row r="4" spans="1:3" ht="12.9" customHeight="1" x14ac:dyDescent="0.35">
      <c r="A4" s="144" t="s">
        <v>201</v>
      </c>
      <c r="B4" s="144"/>
      <c r="C4" s="144"/>
    </row>
    <row r="5" spans="1:3" x14ac:dyDescent="0.35">
      <c r="A5" s="145" t="s">
        <v>154</v>
      </c>
      <c r="B5" s="145"/>
      <c r="C5" s="145"/>
    </row>
    <row r="6" spans="1:3" x14ac:dyDescent="0.35">
      <c r="A6" s="146" t="s">
        <v>157</v>
      </c>
      <c r="B6" s="146"/>
      <c r="C6" s="146"/>
    </row>
    <row r="10" spans="1:3" x14ac:dyDescent="0.35">
      <c r="A10" s="147" t="s">
        <v>108</v>
      </c>
      <c r="B10" s="147"/>
      <c r="C10" s="147"/>
    </row>
    <row r="11" spans="1:3" x14ac:dyDescent="0.35">
      <c r="A11" s="30" t="s">
        <v>14</v>
      </c>
      <c r="B11" s="29" t="s">
        <v>109</v>
      </c>
      <c r="C11" s="16" t="s">
        <v>110</v>
      </c>
    </row>
    <row r="12" spans="1:3" x14ac:dyDescent="0.35">
      <c r="A12" s="30" t="s">
        <v>15</v>
      </c>
      <c r="B12" s="29" t="s">
        <v>111</v>
      </c>
      <c r="C12" s="17" t="s">
        <v>199</v>
      </c>
    </row>
    <row r="13" spans="1:3" ht="15.65" customHeight="1" x14ac:dyDescent="0.35">
      <c r="A13" s="30" t="s">
        <v>16</v>
      </c>
      <c r="B13" s="29" t="s">
        <v>112</v>
      </c>
      <c r="C13" s="39" t="s">
        <v>156</v>
      </c>
    </row>
    <row r="14" spans="1:3" x14ac:dyDescent="0.35">
      <c r="A14" s="30" t="s">
        <v>17</v>
      </c>
      <c r="B14" s="29" t="s">
        <v>113</v>
      </c>
      <c r="C14" s="18">
        <v>12</v>
      </c>
    </row>
    <row r="17" spans="1:3" ht="15" customHeight="1" x14ac:dyDescent="0.35">
      <c r="A17" s="147" t="s">
        <v>128</v>
      </c>
      <c r="B17" s="147"/>
      <c r="C17" s="147"/>
    </row>
    <row r="18" spans="1:3" ht="30.9" customHeight="1" x14ac:dyDescent="0.35">
      <c r="A18" s="30">
        <v>1</v>
      </c>
      <c r="B18" s="70" t="s">
        <v>114</v>
      </c>
      <c r="C18" s="100" t="s">
        <v>158</v>
      </c>
    </row>
    <row r="19" spans="1:3" ht="15" customHeight="1" x14ac:dyDescent="0.35">
      <c r="A19" s="30">
        <v>2</v>
      </c>
      <c r="B19" s="27" t="s">
        <v>116</v>
      </c>
      <c r="C19" s="19" t="s">
        <v>117</v>
      </c>
    </row>
    <row r="20" spans="1:3" ht="15" customHeight="1" x14ac:dyDescent="0.35">
      <c r="A20" s="30">
        <v>3</v>
      </c>
      <c r="B20" s="27" t="s">
        <v>118</v>
      </c>
      <c r="C20" s="20">
        <v>1</v>
      </c>
    </row>
    <row r="21" spans="1:3" ht="15" customHeight="1" x14ac:dyDescent="0.35">
      <c r="A21" s="30">
        <v>4</v>
      </c>
      <c r="B21" s="27" t="s">
        <v>119</v>
      </c>
      <c r="C21" s="21" t="s">
        <v>120</v>
      </c>
    </row>
    <row r="23" spans="1:3" ht="15" customHeight="1" x14ac:dyDescent="0.35"/>
    <row r="24" spans="1:3" ht="15" customHeight="1" x14ac:dyDescent="0.35">
      <c r="A24" s="147" t="s">
        <v>121</v>
      </c>
      <c r="B24" s="147"/>
      <c r="C24" s="147"/>
    </row>
    <row r="25" spans="1:3" ht="15" customHeight="1" x14ac:dyDescent="0.35">
      <c r="A25" s="30">
        <v>1</v>
      </c>
      <c r="B25" s="22" t="s">
        <v>122</v>
      </c>
      <c r="C25" s="23" t="s">
        <v>123</v>
      </c>
    </row>
    <row r="26" spans="1:3" ht="15" customHeight="1" x14ac:dyDescent="0.35">
      <c r="A26" s="30">
        <v>2</v>
      </c>
      <c r="B26" s="22" t="s">
        <v>124</v>
      </c>
      <c r="C26" s="40" t="s">
        <v>125</v>
      </c>
    </row>
    <row r="27" spans="1:3" ht="15" customHeight="1" x14ac:dyDescent="0.35">
      <c r="A27" s="30">
        <v>3</v>
      </c>
      <c r="B27" s="25" t="s">
        <v>155</v>
      </c>
      <c r="C27" s="41">
        <v>1449.96</v>
      </c>
    </row>
    <row r="28" spans="1:3" ht="15" customHeight="1" x14ac:dyDescent="0.35">
      <c r="A28" s="30">
        <v>4</v>
      </c>
      <c r="B28" s="22" t="s">
        <v>126</v>
      </c>
      <c r="C28" s="21" t="s">
        <v>120</v>
      </c>
    </row>
    <row r="29" spans="1:3" ht="15" customHeight="1" x14ac:dyDescent="0.35">
      <c r="A29" s="30">
        <v>5</v>
      </c>
      <c r="B29" s="22" t="s">
        <v>127</v>
      </c>
      <c r="C29" s="26">
        <v>44562</v>
      </c>
    </row>
    <row r="31" spans="1:3" ht="13.3" thickBot="1" x14ac:dyDescent="0.4"/>
    <row r="32" spans="1:3" ht="16.3" thickBot="1" x14ac:dyDescent="0.4">
      <c r="A32" s="135" t="s">
        <v>11</v>
      </c>
      <c r="B32" s="136"/>
      <c r="C32" s="137"/>
    </row>
    <row r="34" spans="1:3" x14ac:dyDescent="0.35">
      <c r="A34" s="101">
        <v>1</v>
      </c>
      <c r="B34" s="101" t="s">
        <v>12</v>
      </c>
      <c r="C34" s="101" t="s">
        <v>13</v>
      </c>
    </row>
    <row r="35" spans="1:3" x14ac:dyDescent="0.35">
      <c r="A35" s="30" t="s">
        <v>14</v>
      </c>
      <c r="B35" s="45" t="s">
        <v>159</v>
      </c>
      <c r="C35" s="56">
        <f>C27</f>
        <v>1449.96</v>
      </c>
    </row>
    <row r="36" spans="1:3" x14ac:dyDescent="0.35">
      <c r="A36" s="30" t="s">
        <v>15</v>
      </c>
      <c r="B36" s="45" t="s">
        <v>203</v>
      </c>
      <c r="C36" s="56">
        <f>C35*30%</f>
        <v>434.988</v>
      </c>
    </row>
    <row r="37" spans="1:3" x14ac:dyDescent="0.35">
      <c r="A37" s="30" t="s">
        <v>17</v>
      </c>
      <c r="B37" s="45" t="s">
        <v>0</v>
      </c>
      <c r="C37" s="56"/>
    </row>
    <row r="38" spans="1:3" x14ac:dyDescent="0.35">
      <c r="A38" s="30" t="s">
        <v>18</v>
      </c>
      <c r="B38" s="45" t="s">
        <v>19</v>
      </c>
      <c r="C38" s="56"/>
    </row>
    <row r="39" spans="1:3" x14ac:dyDescent="0.35">
      <c r="A39" s="30" t="s">
        <v>20</v>
      </c>
      <c r="B39" s="45" t="s">
        <v>22</v>
      </c>
      <c r="C39" s="56"/>
    </row>
    <row r="40" spans="1:3" x14ac:dyDescent="0.35">
      <c r="A40" s="129" t="s">
        <v>1</v>
      </c>
      <c r="B40" s="129"/>
      <c r="C40" s="57">
        <f>SUM(C35:C39)</f>
        <v>1884.9480000000001</v>
      </c>
    </row>
    <row r="43" spans="1:3" x14ac:dyDescent="0.35">
      <c r="A43" s="148" t="s">
        <v>23</v>
      </c>
      <c r="B43" s="148"/>
      <c r="C43" s="148"/>
    </row>
    <row r="44" spans="1:3" x14ac:dyDescent="0.35">
      <c r="A44" s="32"/>
    </row>
    <row r="45" spans="1:3" x14ac:dyDescent="0.35">
      <c r="A45" s="138" t="s">
        <v>24</v>
      </c>
      <c r="B45" s="138"/>
      <c r="C45" s="138"/>
    </row>
    <row r="47" spans="1:3" x14ac:dyDescent="0.35">
      <c r="A47" s="101" t="s">
        <v>25</v>
      </c>
      <c r="B47" s="101" t="s">
        <v>26</v>
      </c>
      <c r="C47" s="101" t="s">
        <v>13</v>
      </c>
    </row>
    <row r="48" spans="1:3" x14ac:dyDescent="0.35">
      <c r="A48" s="30" t="s">
        <v>14</v>
      </c>
      <c r="B48" s="45" t="s">
        <v>27</v>
      </c>
      <c r="C48" s="56">
        <f>C40/12</f>
        <v>157.07900000000001</v>
      </c>
    </row>
    <row r="49" spans="1:4" x14ac:dyDescent="0.35">
      <c r="A49" s="30" t="s">
        <v>15</v>
      </c>
      <c r="B49" s="45" t="s">
        <v>74</v>
      </c>
      <c r="C49" s="56">
        <f>C40/12</f>
        <v>157.07900000000001</v>
      </c>
    </row>
    <row r="50" spans="1:4" x14ac:dyDescent="0.35">
      <c r="A50" s="30" t="s">
        <v>16</v>
      </c>
      <c r="B50" s="45" t="s">
        <v>75</v>
      </c>
      <c r="C50" s="56">
        <f>(C40/12)/3</f>
        <v>52.359666666666669</v>
      </c>
    </row>
    <row r="51" spans="1:4" x14ac:dyDescent="0.35">
      <c r="A51" s="129" t="s">
        <v>1</v>
      </c>
      <c r="B51" s="129"/>
      <c r="C51" s="57">
        <f>SUM(C48:C50)</f>
        <v>366.51766666666668</v>
      </c>
    </row>
    <row r="54" spans="1:4" ht="32.25" customHeight="1" x14ac:dyDescent="0.35">
      <c r="A54" s="139" t="s">
        <v>28</v>
      </c>
      <c r="B54" s="139"/>
      <c r="C54" s="139"/>
      <c r="D54" s="139"/>
    </row>
    <row r="56" spans="1:4" x14ac:dyDescent="0.35">
      <c r="A56" s="101" t="s">
        <v>29</v>
      </c>
      <c r="B56" s="101" t="s">
        <v>30</v>
      </c>
      <c r="C56" s="101" t="s">
        <v>31</v>
      </c>
      <c r="D56" s="101" t="s">
        <v>13</v>
      </c>
    </row>
    <row r="57" spans="1:4" x14ac:dyDescent="0.35">
      <c r="A57" s="30" t="s">
        <v>14</v>
      </c>
      <c r="B57" s="45" t="s">
        <v>32</v>
      </c>
      <c r="C57" s="65">
        <v>0.2</v>
      </c>
      <c r="D57" s="56">
        <f>(C40+C51)*C57</f>
        <v>450.2931333333334</v>
      </c>
    </row>
    <row r="58" spans="1:4" x14ac:dyDescent="0.35">
      <c r="A58" s="30" t="s">
        <v>15</v>
      </c>
      <c r="B58" s="45" t="s">
        <v>33</v>
      </c>
      <c r="C58" s="65">
        <v>2.5000000000000001E-2</v>
      </c>
      <c r="D58" s="56">
        <f>(C40+C51)*C58</f>
        <v>56.286641666666675</v>
      </c>
    </row>
    <row r="59" spans="1:4" x14ac:dyDescent="0.35">
      <c r="A59" s="30" t="s">
        <v>16</v>
      </c>
      <c r="B59" s="45" t="s">
        <v>34</v>
      </c>
      <c r="C59" s="66">
        <v>0.03</v>
      </c>
      <c r="D59" s="56">
        <f>(C40+C51)*C59</f>
        <v>67.543970000000002</v>
      </c>
    </row>
    <row r="60" spans="1:4" x14ac:dyDescent="0.35">
      <c r="A60" s="30" t="s">
        <v>17</v>
      </c>
      <c r="B60" s="45" t="s">
        <v>35</v>
      </c>
      <c r="C60" s="65">
        <v>1.4999999999999999E-2</v>
      </c>
      <c r="D60" s="56">
        <f>(C40+C51)*C60</f>
        <v>33.771985000000001</v>
      </c>
    </row>
    <row r="61" spans="1:4" x14ac:dyDescent="0.35">
      <c r="A61" s="30" t="s">
        <v>18</v>
      </c>
      <c r="B61" s="45" t="s">
        <v>36</v>
      </c>
      <c r="C61" s="65">
        <v>0.01</v>
      </c>
      <c r="D61" s="56">
        <f>(C40+C51)*C61</f>
        <v>22.514656666666671</v>
      </c>
    </row>
    <row r="62" spans="1:4" x14ac:dyDescent="0.35">
      <c r="A62" s="30" t="s">
        <v>20</v>
      </c>
      <c r="B62" s="45" t="s">
        <v>3</v>
      </c>
      <c r="C62" s="65">
        <v>6.0000000000000001E-3</v>
      </c>
      <c r="D62" s="56">
        <f>(C40+C40)*C62</f>
        <v>22.619376000000003</v>
      </c>
    </row>
    <row r="63" spans="1:4" x14ac:dyDescent="0.35">
      <c r="A63" s="30" t="s">
        <v>21</v>
      </c>
      <c r="B63" s="45" t="s">
        <v>4</v>
      </c>
      <c r="C63" s="65">
        <v>2E-3</v>
      </c>
      <c r="D63" s="56">
        <f>(C40+C51)*C63</f>
        <v>4.5029313333333336</v>
      </c>
    </row>
    <row r="64" spans="1:4" x14ac:dyDescent="0.35">
      <c r="A64" s="140" t="s">
        <v>76</v>
      </c>
      <c r="B64" s="140"/>
      <c r="C64" s="67">
        <f>SUM(C57:C63)</f>
        <v>0.28800000000000003</v>
      </c>
      <c r="D64" s="68">
        <f>SUM(D57:D63)</f>
        <v>657.53269400000011</v>
      </c>
    </row>
    <row r="65" spans="1:5" x14ac:dyDescent="0.35">
      <c r="A65" s="30" t="s">
        <v>37</v>
      </c>
      <c r="B65" s="45" t="s">
        <v>5</v>
      </c>
      <c r="C65" s="65">
        <v>0.08</v>
      </c>
      <c r="D65" s="56">
        <f>(C40+C51)*C65</f>
        <v>180.11725333333337</v>
      </c>
    </row>
    <row r="66" spans="1:5" x14ac:dyDescent="0.35">
      <c r="A66" s="129" t="s">
        <v>38</v>
      </c>
      <c r="B66" s="129"/>
      <c r="C66" s="71">
        <f>SUM(C64:C65)</f>
        <v>0.36800000000000005</v>
      </c>
      <c r="D66" s="57">
        <f>SUM(D64:D65)</f>
        <v>837.64994733333344</v>
      </c>
    </row>
    <row r="69" spans="1:5" x14ac:dyDescent="0.35">
      <c r="A69" s="138" t="s">
        <v>39</v>
      </c>
      <c r="B69" s="138"/>
      <c r="C69" s="138"/>
    </row>
    <row r="71" spans="1:5" x14ac:dyDescent="0.35">
      <c r="A71" s="101" t="s">
        <v>40</v>
      </c>
      <c r="B71" s="101" t="s">
        <v>41</v>
      </c>
      <c r="C71" s="101" t="s">
        <v>13</v>
      </c>
    </row>
    <row r="72" spans="1:5" x14ac:dyDescent="0.35">
      <c r="A72" s="30" t="s">
        <v>14</v>
      </c>
      <c r="B72" s="45" t="s">
        <v>184</v>
      </c>
      <c r="C72" s="93">
        <v>0</v>
      </c>
      <c r="D72" s="38"/>
      <c r="E72" s="38"/>
    </row>
    <row r="73" spans="1:5" x14ac:dyDescent="0.35">
      <c r="A73" s="30" t="s">
        <v>15</v>
      </c>
      <c r="B73" s="45" t="s">
        <v>204</v>
      </c>
      <c r="C73" s="56">
        <f>(23.13*15)-(23.13*15*2%)</f>
        <v>340.01099999999997</v>
      </c>
      <c r="D73" s="35"/>
    </row>
    <row r="74" spans="1:5" x14ac:dyDescent="0.35">
      <c r="A74" s="30" t="s">
        <v>16</v>
      </c>
      <c r="B74" s="45" t="s">
        <v>162</v>
      </c>
      <c r="C74" s="56">
        <v>45</v>
      </c>
    </row>
    <row r="75" spans="1:5" x14ac:dyDescent="0.35">
      <c r="A75" s="30" t="s">
        <v>17</v>
      </c>
      <c r="B75" s="1" t="s">
        <v>77</v>
      </c>
      <c r="C75" s="56"/>
    </row>
    <row r="76" spans="1:5" x14ac:dyDescent="0.35">
      <c r="A76" s="129" t="s">
        <v>1</v>
      </c>
      <c r="B76" s="129"/>
      <c r="C76" s="57">
        <f>SUM(C72:C75)</f>
        <v>385.01099999999997</v>
      </c>
    </row>
    <row r="79" spans="1:5" x14ac:dyDescent="0.35">
      <c r="A79" s="138" t="s">
        <v>42</v>
      </c>
      <c r="B79" s="138"/>
      <c r="C79" s="138"/>
    </row>
    <row r="81" spans="1:4" x14ac:dyDescent="0.35">
      <c r="A81" s="101">
        <v>2</v>
      </c>
      <c r="B81" s="101" t="s">
        <v>43</v>
      </c>
      <c r="C81" s="101" t="s">
        <v>13</v>
      </c>
    </row>
    <row r="82" spans="1:4" x14ac:dyDescent="0.35">
      <c r="A82" s="30" t="s">
        <v>25</v>
      </c>
      <c r="B82" s="45" t="s">
        <v>26</v>
      </c>
      <c r="C82" s="47">
        <f>C51</f>
        <v>366.51766666666668</v>
      </c>
    </row>
    <row r="83" spans="1:4" x14ac:dyDescent="0.35">
      <c r="A83" s="30" t="s">
        <v>29</v>
      </c>
      <c r="B83" s="45" t="s">
        <v>30</v>
      </c>
      <c r="C83" s="47">
        <f>D66</f>
        <v>837.64994733333344</v>
      </c>
    </row>
    <row r="84" spans="1:4" x14ac:dyDescent="0.35">
      <c r="A84" s="30" t="s">
        <v>40</v>
      </c>
      <c r="B84" s="45" t="s">
        <v>41</v>
      </c>
      <c r="C84" s="47">
        <f>C76</f>
        <v>385.01099999999997</v>
      </c>
    </row>
    <row r="85" spans="1:4" x14ac:dyDescent="0.35">
      <c r="A85" s="129" t="s">
        <v>1</v>
      </c>
      <c r="B85" s="129"/>
      <c r="C85" s="50">
        <f>SUM(C82:C84)</f>
        <v>1589.1786140000002</v>
      </c>
    </row>
    <row r="86" spans="1:4" x14ac:dyDescent="0.35">
      <c r="A86" s="33"/>
    </row>
    <row r="87" spans="1:4" ht="13.3" thickBot="1" x14ac:dyDescent="0.4"/>
    <row r="88" spans="1:4" ht="16.3" thickBot="1" x14ac:dyDescent="0.4">
      <c r="A88" s="135" t="s">
        <v>44</v>
      </c>
      <c r="B88" s="136"/>
      <c r="C88" s="137"/>
    </row>
    <row r="90" spans="1:4" x14ac:dyDescent="0.35">
      <c r="A90" s="101">
        <v>3</v>
      </c>
      <c r="B90" s="101" t="s">
        <v>45</v>
      </c>
      <c r="C90" s="101" t="s">
        <v>13</v>
      </c>
    </row>
    <row r="91" spans="1:4" x14ac:dyDescent="0.35">
      <c r="A91" s="30" t="s">
        <v>14</v>
      </c>
      <c r="B91" s="60" t="s">
        <v>151</v>
      </c>
      <c r="C91" s="56">
        <f>(C40+C85-D64)/12</f>
        <v>234.71616000000003</v>
      </c>
      <c r="D91" s="34"/>
    </row>
    <row r="92" spans="1:4" x14ac:dyDescent="0.35">
      <c r="A92" s="30" t="s">
        <v>15</v>
      </c>
      <c r="B92" s="60" t="s">
        <v>46</v>
      </c>
      <c r="C92" s="61">
        <f>C91*8%</f>
        <v>18.777292800000001</v>
      </c>
    </row>
    <row r="93" spans="1:4" x14ac:dyDescent="0.35">
      <c r="A93" s="30" t="s">
        <v>16</v>
      </c>
      <c r="B93" s="60" t="s">
        <v>47</v>
      </c>
      <c r="C93" s="61">
        <f>(D65*50%)</f>
        <v>90.058626666666683</v>
      </c>
    </row>
    <row r="94" spans="1:4" x14ac:dyDescent="0.35">
      <c r="A94" s="141" t="s">
        <v>78</v>
      </c>
      <c r="B94" s="141"/>
      <c r="C94" s="57">
        <f>(C91+C93)*59.06%</f>
        <v>191.81198900533337</v>
      </c>
    </row>
    <row r="95" spans="1:4" ht="25.75" x14ac:dyDescent="0.35">
      <c r="A95" s="30" t="s">
        <v>17</v>
      </c>
      <c r="B95" s="62" t="s">
        <v>152</v>
      </c>
      <c r="C95" s="61">
        <f>(C40+C85)/12</f>
        <v>289.51055116666669</v>
      </c>
    </row>
    <row r="96" spans="1:4" x14ac:dyDescent="0.35">
      <c r="A96" s="30" t="s">
        <v>18</v>
      </c>
      <c r="B96" s="60" t="s">
        <v>48</v>
      </c>
      <c r="C96" s="56">
        <f>(C95*C66)</f>
        <v>106.53988282933335</v>
      </c>
    </row>
    <row r="97" spans="1:5" x14ac:dyDescent="0.35">
      <c r="A97" s="30" t="s">
        <v>20</v>
      </c>
      <c r="B97" s="60" t="s">
        <v>49</v>
      </c>
      <c r="C97" s="56">
        <f>C93</f>
        <v>90.058626666666683</v>
      </c>
    </row>
    <row r="98" spans="1:5" x14ac:dyDescent="0.35">
      <c r="A98" s="141" t="s">
        <v>79</v>
      </c>
      <c r="B98" s="141"/>
      <c r="C98" s="57">
        <f>(C95+C97)*6.56%</f>
        <v>24.899738065866664</v>
      </c>
    </row>
    <row r="99" spans="1:5" x14ac:dyDescent="0.35">
      <c r="A99" s="129" t="s">
        <v>80</v>
      </c>
      <c r="B99" s="129"/>
      <c r="C99" s="63">
        <f>C51*4.51%</f>
        <v>16.529946766666669</v>
      </c>
    </row>
    <row r="100" spans="1:5" x14ac:dyDescent="0.35">
      <c r="A100" s="134" t="s">
        <v>81</v>
      </c>
      <c r="B100" s="134"/>
      <c r="C100" s="64">
        <f>(C94+C98)-C99</f>
        <v>200.18178030453339</v>
      </c>
    </row>
    <row r="102" spans="1:5" ht="13.3" thickBot="1" x14ac:dyDescent="0.4"/>
    <row r="103" spans="1:5" ht="16.3" thickBot="1" x14ac:dyDescent="0.4">
      <c r="A103" s="135" t="s">
        <v>50</v>
      </c>
      <c r="B103" s="136"/>
      <c r="C103" s="137"/>
    </row>
    <row r="105" spans="1:5" x14ac:dyDescent="0.35">
      <c r="A105" s="138" t="s">
        <v>51</v>
      </c>
      <c r="B105" s="138"/>
      <c r="C105" s="138"/>
    </row>
    <row r="106" spans="1:5" x14ac:dyDescent="0.35">
      <c r="A106" s="32"/>
    </row>
    <row r="107" spans="1:5" x14ac:dyDescent="0.35">
      <c r="A107" s="101" t="s">
        <v>52</v>
      </c>
      <c r="B107" s="101" t="s">
        <v>53</v>
      </c>
      <c r="C107" s="101" t="s">
        <v>13</v>
      </c>
    </row>
    <row r="108" spans="1:5" x14ac:dyDescent="0.35">
      <c r="A108" s="30" t="s">
        <v>14</v>
      </c>
      <c r="B108" s="45" t="s">
        <v>2</v>
      </c>
      <c r="C108" s="59"/>
    </row>
    <row r="109" spans="1:5" x14ac:dyDescent="0.35">
      <c r="A109" s="30" t="s">
        <v>15</v>
      </c>
      <c r="B109" s="45" t="s">
        <v>130</v>
      </c>
      <c r="C109" s="72">
        <f>(C100+C85+C40)/30*21.3562/12</f>
        <v>217.97018036235136</v>
      </c>
      <c r="E109" s="35"/>
    </row>
    <row r="110" spans="1:5" x14ac:dyDescent="0.35">
      <c r="A110" s="30" t="s">
        <v>16</v>
      </c>
      <c r="B110" s="45" t="s">
        <v>54</v>
      </c>
      <c r="C110" s="47"/>
    </row>
    <row r="111" spans="1:5" x14ac:dyDescent="0.35">
      <c r="A111" s="30" t="s">
        <v>17</v>
      </c>
      <c r="B111" s="45" t="s">
        <v>55</v>
      </c>
      <c r="C111" s="47"/>
    </row>
    <row r="112" spans="1:5" x14ac:dyDescent="0.35">
      <c r="A112" s="30" t="s">
        <v>18</v>
      </c>
      <c r="B112" s="45" t="s">
        <v>56</v>
      </c>
      <c r="C112" s="47"/>
    </row>
    <row r="113" spans="1:5" x14ac:dyDescent="0.35">
      <c r="A113" s="30" t="s">
        <v>20</v>
      </c>
      <c r="B113" s="45" t="s">
        <v>22</v>
      </c>
      <c r="C113" s="30"/>
    </row>
    <row r="114" spans="1:5" x14ac:dyDescent="0.35">
      <c r="A114" s="129" t="s">
        <v>38</v>
      </c>
      <c r="B114" s="129"/>
      <c r="C114" s="50">
        <f>SUM(C108:C113)</f>
        <v>217.97018036235136</v>
      </c>
    </row>
    <row r="117" spans="1:5" x14ac:dyDescent="0.35">
      <c r="A117" s="138" t="s">
        <v>57</v>
      </c>
      <c r="B117" s="138"/>
      <c r="C117" s="138"/>
      <c r="D117" s="35"/>
      <c r="E117" s="35"/>
    </row>
    <row r="118" spans="1:5" x14ac:dyDescent="0.35">
      <c r="A118" s="32"/>
    </row>
    <row r="119" spans="1:5" x14ac:dyDescent="0.35">
      <c r="A119" s="101" t="s">
        <v>58</v>
      </c>
      <c r="B119" s="101" t="s">
        <v>59</v>
      </c>
      <c r="C119" s="101" t="s">
        <v>13</v>
      </c>
    </row>
    <row r="120" spans="1:5" x14ac:dyDescent="0.35">
      <c r="A120" s="30" t="s">
        <v>14</v>
      </c>
      <c r="B120" s="45" t="s">
        <v>166</v>
      </c>
      <c r="C120" s="56">
        <f>(C40+C85+C100)/220*15</f>
        <v>250.52102688440004</v>
      </c>
    </row>
    <row r="121" spans="1:5" x14ac:dyDescent="0.35">
      <c r="A121" s="129" t="s">
        <v>1</v>
      </c>
      <c r="B121" s="129"/>
      <c r="C121" s="57">
        <f>C120</f>
        <v>250.52102688440004</v>
      </c>
    </row>
    <row r="124" spans="1:5" x14ac:dyDescent="0.35">
      <c r="A124" s="138" t="s">
        <v>60</v>
      </c>
      <c r="B124" s="138"/>
      <c r="C124" s="138"/>
    </row>
    <row r="125" spans="1:5" x14ac:dyDescent="0.35">
      <c r="A125" s="32"/>
    </row>
    <row r="126" spans="1:5" x14ac:dyDescent="0.35">
      <c r="A126" s="101">
        <v>4</v>
      </c>
      <c r="B126" s="102" t="s">
        <v>61</v>
      </c>
      <c r="C126" s="101" t="s">
        <v>13</v>
      </c>
    </row>
    <row r="127" spans="1:5" x14ac:dyDescent="0.35">
      <c r="A127" s="30" t="s">
        <v>52</v>
      </c>
      <c r="B127" s="45" t="s">
        <v>53</v>
      </c>
      <c r="C127" s="47">
        <f>C114</f>
        <v>217.97018036235136</v>
      </c>
    </row>
    <row r="128" spans="1:5" x14ac:dyDescent="0.35">
      <c r="A128" s="30" t="s">
        <v>58</v>
      </c>
      <c r="B128" s="45" t="s">
        <v>165</v>
      </c>
      <c r="C128" s="47">
        <f>C120</f>
        <v>250.52102688440004</v>
      </c>
    </row>
    <row r="129" spans="1:4" x14ac:dyDescent="0.35">
      <c r="A129" s="129" t="s">
        <v>1</v>
      </c>
      <c r="B129" s="129"/>
      <c r="C129" s="50">
        <f>SUM(C127:C128)</f>
        <v>468.4912072467514</v>
      </c>
    </row>
    <row r="131" spans="1:4" ht="13.3" thickBot="1" x14ac:dyDescent="0.4"/>
    <row r="132" spans="1:4" ht="16.3" thickBot="1" x14ac:dyDescent="0.4">
      <c r="A132" s="135" t="s">
        <v>62</v>
      </c>
      <c r="B132" s="136"/>
      <c r="C132" s="137"/>
    </row>
    <row r="134" spans="1:4" x14ac:dyDescent="0.35">
      <c r="A134" s="101">
        <v>5</v>
      </c>
      <c r="B134" s="44" t="s">
        <v>6</v>
      </c>
      <c r="C134" s="101" t="s">
        <v>13</v>
      </c>
    </row>
    <row r="135" spans="1:4" x14ac:dyDescent="0.35">
      <c r="A135" s="30" t="s">
        <v>14</v>
      </c>
      <c r="B135" s="45" t="s">
        <v>63</v>
      </c>
      <c r="C135" s="56">
        <f>INSUMOS!E12</f>
        <v>106.48583333333336</v>
      </c>
    </row>
    <row r="136" spans="1:4" x14ac:dyDescent="0.35">
      <c r="A136" s="30" t="s">
        <v>15</v>
      </c>
      <c r="B136" s="45" t="s">
        <v>64</v>
      </c>
      <c r="C136" s="56">
        <f>INSUMOS!K26</f>
        <v>30.855</v>
      </c>
    </row>
    <row r="137" spans="1:4" x14ac:dyDescent="0.35">
      <c r="A137" s="30" t="s">
        <v>16</v>
      </c>
      <c r="B137" s="45" t="s">
        <v>142</v>
      </c>
      <c r="C137" s="56">
        <f>INSUMOS!E43</f>
        <v>68.890708333333336</v>
      </c>
    </row>
    <row r="138" spans="1:4" x14ac:dyDescent="0.35">
      <c r="A138" s="30" t="s">
        <v>17</v>
      </c>
      <c r="B138" s="45" t="s">
        <v>77</v>
      </c>
      <c r="C138" s="56"/>
    </row>
    <row r="139" spans="1:4" x14ac:dyDescent="0.35">
      <c r="A139" s="129" t="s">
        <v>38</v>
      </c>
      <c r="B139" s="129"/>
      <c r="C139" s="57">
        <f>SUM(C135:C138)</f>
        <v>206.23154166666671</v>
      </c>
    </row>
    <row r="141" spans="1:4" ht="13.3" thickBot="1" x14ac:dyDescent="0.4"/>
    <row r="142" spans="1:4" ht="16.3" thickBot="1" x14ac:dyDescent="0.4">
      <c r="A142" s="135" t="s">
        <v>65</v>
      </c>
      <c r="B142" s="136"/>
      <c r="C142" s="136"/>
      <c r="D142" s="137"/>
    </row>
    <row r="144" spans="1:4" x14ac:dyDescent="0.35">
      <c r="A144" s="101">
        <v>6</v>
      </c>
      <c r="B144" s="44" t="s">
        <v>7</v>
      </c>
      <c r="C144" s="101" t="s">
        <v>31</v>
      </c>
      <c r="D144" s="101" t="s">
        <v>13</v>
      </c>
    </row>
    <row r="145" spans="1:6" x14ac:dyDescent="0.35">
      <c r="A145" s="30" t="s">
        <v>14</v>
      </c>
      <c r="B145" s="45" t="s">
        <v>8</v>
      </c>
      <c r="C145" s="73">
        <v>0.06</v>
      </c>
      <c r="D145" s="47">
        <f>(C139+C129+C100+C85+C40)*C145</f>
        <v>260.94186859307706</v>
      </c>
    </row>
    <row r="146" spans="1:6" x14ac:dyDescent="0.35">
      <c r="A146" s="30" t="s">
        <v>15</v>
      </c>
      <c r="B146" s="45" t="s">
        <v>10</v>
      </c>
      <c r="C146" s="46">
        <v>6.7900000000000002E-2</v>
      </c>
      <c r="D146" s="47">
        <f>(C139+C129+C100+C85+C40)*C146</f>
        <v>295.29921462449892</v>
      </c>
    </row>
    <row r="147" spans="1:6" x14ac:dyDescent="0.35">
      <c r="A147" s="30" t="s">
        <v>16</v>
      </c>
      <c r="B147" s="45" t="s">
        <v>9</v>
      </c>
      <c r="C147" s="73"/>
      <c r="D147" s="47"/>
    </row>
    <row r="148" spans="1:6" x14ac:dyDescent="0.35">
      <c r="A148" s="30"/>
      <c r="B148" s="45" t="s">
        <v>72</v>
      </c>
      <c r="C148" s="46">
        <v>6.4999999999999997E-3</v>
      </c>
      <c r="D148" s="47">
        <f>(C139+C129+C100+C85+C40)*C148</f>
        <v>28.268702430916683</v>
      </c>
    </row>
    <row r="149" spans="1:6" x14ac:dyDescent="0.35">
      <c r="A149" s="30"/>
      <c r="B149" s="45" t="s">
        <v>73</v>
      </c>
      <c r="C149" s="46">
        <v>0.03</v>
      </c>
      <c r="D149" s="47">
        <f>(C139+C129+C100+C85+C40)*C149</f>
        <v>130.47093429653853</v>
      </c>
    </row>
    <row r="150" spans="1:6" x14ac:dyDescent="0.35">
      <c r="A150" s="30"/>
      <c r="B150" s="45" t="s">
        <v>66</v>
      </c>
      <c r="C150" s="73"/>
      <c r="D150" s="47"/>
    </row>
    <row r="151" spans="1:6" x14ac:dyDescent="0.35">
      <c r="A151" s="30"/>
      <c r="B151" s="45" t="s">
        <v>183</v>
      </c>
      <c r="C151" s="106">
        <v>0.05</v>
      </c>
      <c r="D151" s="47">
        <f>(C139+C129+C100+C85+C40)*C151</f>
        <v>217.45155716089758</v>
      </c>
    </row>
    <row r="152" spans="1:6" x14ac:dyDescent="0.35">
      <c r="A152" s="30"/>
      <c r="B152" s="45" t="s">
        <v>86</v>
      </c>
      <c r="C152" s="48">
        <f>SUM(C145:C151)</f>
        <v>0.21440000000000003</v>
      </c>
      <c r="D152" s="47">
        <f>(C139+C129+C100+C85+C40)*C152</f>
        <v>932.43227710592896</v>
      </c>
      <c r="E152" s="36"/>
      <c r="F152" s="37"/>
    </row>
    <row r="153" spans="1:6" x14ac:dyDescent="0.35">
      <c r="A153" s="129" t="s">
        <v>38</v>
      </c>
      <c r="B153" s="129"/>
      <c r="C153" s="46"/>
      <c r="D153" s="50">
        <f>D152</f>
        <v>932.43227710592896</v>
      </c>
    </row>
    <row r="155" spans="1:6" ht="13.3" thickBot="1" x14ac:dyDescent="0.4"/>
    <row r="156" spans="1:6" ht="16.3" thickBot="1" x14ac:dyDescent="0.4">
      <c r="A156" s="126" t="s">
        <v>67</v>
      </c>
      <c r="B156" s="127"/>
      <c r="C156" s="128"/>
    </row>
    <row r="158" spans="1:6" x14ac:dyDescent="0.35">
      <c r="A158" s="101"/>
      <c r="B158" s="101" t="s">
        <v>68</v>
      </c>
      <c r="C158" s="101" t="s">
        <v>13</v>
      </c>
    </row>
    <row r="159" spans="1:6" x14ac:dyDescent="0.35">
      <c r="A159" s="101" t="s">
        <v>14</v>
      </c>
      <c r="B159" s="45" t="s">
        <v>11</v>
      </c>
      <c r="C159" s="51">
        <f>C40</f>
        <v>1884.9480000000001</v>
      </c>
    </row>
    <row r="160" spans="1:6" x14ac:dyDescent="0.35">
      <c r="A160" s="101" t="s">
        <v>15</v>
      </c>
      <c r="B160" s="45" t="s">
        <v>23</v>
      </c>
      <c r="C160" s="51">
        <f>C85</f>
        <v>1589.1786140000002</v>
      </c>
    </row>
    <row r="161" spans="1:5" x14ac:dyDescent="0.35">
      <c r="A161" s="101" t="s">
        <v>16</v>
      </c>
      <c r="B161" s="45" t="s">
        <v>44</v>
      </c>
      <c r="C161" s="51">
        <f>C100</f>
        <v>200.18178030453339</v>
      </c>
    </row>
    <row r="162" spans="1:5" x14ac:dyDescent="0.35">
      <c r="A162" s="101" t="s">
        <v>17</v>
      </c>
      <c r="B162" s="52" t="s">
        <v>50</v>
      </c>
      <c r="C162" s="51">
        <f>C129</f>
        <v>468.4912072467514</v>
      </c>
    </row>
    <row r="163" spans="1:5" x14ac:dyDescent="0.35">
      <c r="A163" s="101" t="s">
        <v>18</v>
      </c>
      <c r="B163" s="45" t="s">
        <v>62</v>
      </c>
      <c r="C163" s="51">
        <f>C139</f>
        <v>206.23154166666671</v>
      </c>
    </row>
    <row r="164" spans="1:5" x14ac:dyDescent="0.35">
      <c r="A164" s="129" t="s">
        <v>69</v>
      </c>
      <c r="B164" s="129"/>
      <c r="C164" s="53">
        <f>SUM(C159:C163)</f>
        <v>4349.0311432179524</v>
      </c>
    </row>
    <row r="165" spans="1:5" x14ac:dyDescent="0.35">
      <c r="A165" s="101" t="s">
        <v>20</v>
      </c>
      <c r="B165" s="45" t="s">
        <v>70</v>
      </c>
      <c r="C165" s="51">
        <f>D153</f>
        <v>932.43227710592896</v>
      </c>
    </row>
    <row r="166" spans="1:5" x14ac:dyDescent="0.35">
      <c r="A166" s="129" t="s">
        <v>71</v>
      </c>
      <c r="B166" s="129"/>
      <c r="C166" s="54">
        <f>C164+C165</f>
        <v>5281.4634203238811</v>
      </c>
    </row>
    <row r="167" spans="1:5" ht="13.3" thickBot="1" x14ac:dyDescent="0.4">
      <c r="A167" s="130" t="s">
        <v>132</v>
      </c>
      <c r="B167" s="130"/>
      <c r="C167" s="55"/>
      <c r="D167" s="42"/>
      <c r="E167" s="37"/>
    </row>
    <row r="168" spans="1:5" ht="91.3" customHeight="1" thickBot="1" x14ac:dyDescent="0.4">
      <c r="A168" s="131" t="s">
        <v>133</v>
      </c>
      <c r="B168" s="132"/>
      <c r="C168" s="133"/>
    </row>
  </sheetData>
  <mergeCells count="41">
    <mergeCell ref="A45:C45"/>
    <mergeCell ref="A1:C1"/>
    <mergeCell ref="A2:C2"/>
    <mergeCell ref="A4:C4"/>
    <mergeCell ref="A5:C5"/>
    <mergeCell ref="A6:C6"/>
    <mergeCell ref="A10:C10"/>
    <mergeCell ref="A17:C17"/>
    <mergeCell ref="A24:C24"/>
    <mergeCell ref="A32:C32"/>
    <mergeCell ref="A40:B40"/>
    <mergeCell ref="A43:C43"/>
    <mergeCell ref="A99:B99"/>
    <mergeCell ref="A51:B51"/>
    <mergeCell ref="A54:D54"/>
    <mergeCell ref="A64:B64"/>
    <mergeCell ref="A66:B66"/>
    <mergeCell ref="A69:C69"/>
    <mergeCell ref="A76:B76"/>
    <mergeCell ref="A79:C79"/>
    <mergeCell ref="A85:B85"/>
    <mergeCell ref="A88:C88"/>
    <mergeCell ref="A94:B94"/>
    <mergeCell ref="A98:B98"/>
    <mergeCell ref="A153:B153"/>
    <mergeCell ref="A100:B100"/>
    <mergeCell ref="A103:C103"/>
    <mergeCell ref="A105:C105"/>
    <mergeCell ref="A114:B114"/>
    <mergeCell ref="A117:C117"/>
    <mergeCell ref="A121:B121"/>
    <mergeCell ref="A124:C124"/>
    <mergeCell ref="A129:B129"/>
    <mergeCell ref="A132:C132"/>
    <mergeCell ref="A139:B139"/>
    <mergeCell ref="A142:D142"/>
    <mergeCell ref="A156:C156"/>
    <mergeCell ref="A164:B164"/>
    <mergeCell ref="A166:B166"/>
    <mergeCell ref="A167:B167"/>
    <mergeCell ref="A168:C168"/>
  </mergeCells>
  <pageMargins left="0.511811024" right="0.511811024" top="0.78740157499999996" bottom="0.78740157499999996" header="0.31496062000000002" footer="0.31496062000000002"/>
  <pageSetup paperSize="9" scale="76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12</vt:i4>
      </vt:variant>
    </vt:vector>
  </HeadingPairs>
  <TitlesOfParts>
    <vt:vector size="12" baseType="lpstr">
      <vt:lpstr>NOTURNO SIC</vt:lpstr>
      <vt:lpstr>NOTURNO BRG</vt:lpstr>
      <vt:lpstr>NOTURNO ROO</vt:lpstr>
      <vt:lpstr>NOTURNO CAE</vt:lpstr>
      <vt:lpstr>NOTURNO CBA</vt:lpstr>
      <vt:lpstr>DIURNO SIC</vt:lpstr>
      <vt:lpstr>DIURNO BRG</vt:lpstr>
      <vt:lpstr>DIURNO ROO</vt:lpstr>
      <vt:lpstr>DIURNO CAE</vt:lpstr>
      <vt:lpstr>DIURNO CBA</vt:lpstr>
      <vt:lpstr>INSUMOS</vt:lpstr>
      <vt:lpstr>RESUMO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Arcangela Silva Casagrande</dc:creator>
  <cp:lastModifiedBy>Eliezer Gentil de Souza</cp:lastModifiedBy>
  <cp:lastPrinted>2022-08-17T18:57:22Z</cp:lastPrinted>
  <dcterms:created xsi:type="dcterms:W3CDTF">2018-01-23T19:35:16Z</dcterms:created>
  <dcterms:modified xsi:type="dcterms:W3CDTF">2022-09-14T19:14:24Z</dcterms:modified>
</cp:coreProperties>
</file>